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Tanush\SVN\MODEL\trunk\Sumo\Process code\Tools\"/>
    </mc:Choice>
  </mc:AlternateContent>
  <xr:revisionPtr revIDLastSave="0" documentId="13_ncr:1_{1233CDD0-36D8-4D68-9F4C-F910E547FADC}" xr6:coauthVersionLast="47" xr6:coauthVersionMax="47" xr10:uidLastSave="{00000000-0000-0000-0000-000000000000}"/>
  <bookViews>
    <workbookView xWindow="-120" yWindow="-120" windowWidth="29040" windowHeight="15720" tabRatio="702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4" r:id="rId5"/>
    <sheet name="Balances" sheetId="6" r:id="rId6"/>
    <sheet name="Diurnal flow" sheetId="8" r:id="rId7"/>
    <sheet name="Birthday Cake" sheetId="13" r:id="rId8"/>
    <sheet name="Calculations" sheetId="10" r:id="rId9"/>
  </sheets>
  <definedNames>
    <definedName name="A_SFHAO_H">Balances!$K$15</definedName>
    <definedName name="A_SFHAO_L">Balances!$K$16</definedName>
    <definedName name="A_SFHFO_H">Balances!$K$12</definedName>
    <definedName name="A_SFHFO_L">Balances!$K$13</definedName>
    <definedName name="AM_Al">Balances!$K$21</definedName>
    <definedName name="AM_Fe">Balances!$K$20</definedName>
    <definedName name="AM_P">Balances!$K$22</definedName>
    <definedName name="ASF_H">Balances!$K$12</definedName>
    <definedName name="ASF_L">Balances!$K$13</definedName>
    <definedName name="f_H2O_HAO_TSS">Balances!$K$17</definedName>
    <definedName name="f_H2O_HFO_TSS">Balances!$K$14</definedName>
    <definedName name="i_CV_PHA">Balances!$K$19</definedName>
    <definedName name="i_N_BIO">Balances!$K$3</definedName>
    <definedName name="i_N_CB">Balances!$K$5</definedName>
    <definedName name="i_N_CU">Balances!$K$7</definedName>
    <definedName name="i_N_SU">Balances!$K$6</definedName>
    <definedName name="i_N_XE">Balances!$K$4</definedName>
    <definedName name="i_N_XSTR">Balances!$K$7</definedName>
    <definedName name="i_P_BIO">Balances!$K$8</definedName>
    <definedName name="i_P_CB">Balances!$K$9</definedName>
    <definedName name="i_P_CU">Balances!$K$11</definedName>
    <definedName name="i_P_SU">Balances!$K$10</definedName>
    <definedName name="i_TSS_PP">Balances!$K$18</definedName>
    <definedName name="MM_HAO">Balances!$K$24</definedName>
    <definedName name="MM_HFO">Balances!$K$23</definedName>
    <definedName name="MM_PO4">Balances!$K$25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4" l="1"/>
  <c r="N23" i="14"/>
  <c r="M23" i="14"/>
  <c r="I23" i="14"/>
  <c r="G20" i="6"/>
  <c r="C29" i="6"/>
  <c r="G19" i="6"/>
  <c r="C28" i="6"/>
  <c r="C30" i="6" l="1"/>
  <c r="K18" i="6" l="1"/>
  <c r="C31" i="6" l="1"/>
  <c r="B41" i="14"/>
  <c r="R35" i="14" l="1"/>
  <c r="T29" i="14" l="1"/>
  <c r="W35" i="14" s="1"/>
  <c r="E35" i="14"/>
  <c r="H41" i="14" s="1"/>
  <c r="K35" i="14"/>
  <c r="K37" i="14" s="1"/>
  <c r="H29" i="14"/>
  <c r="E37" i="14" s="1"/>
  <c r="W37" i="14" l="1"/>
  <c r="W36" i="14"/>
  <c r="R36" i="14"/>
  <c r="R37" i="14"/>
  <c r="K36" i="14"/>
  <c r="B43" i="14"/>
  <c r="E36" i="14"/>
  <c r="B42" i="14"/>
  <c r="H42" i="14" l="1"/>
  <c r="H43" i="14"/>
  <c r="N15" i="14"/>
  <c r="K10" i="14"/>
  <c r="J15" i="14"/>
  <c r="J16" i="14" l="1"/>
  <c r="N16" i="14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1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199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75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7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1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199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75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79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" i="13"/>
  <c r="A8" i="13" l="1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7" i="13"/>
  <c r="E103" i="13"/>
  <c r="F103" i="13"/>
  <c r="G103" i="13"/>
  <c r="E104" i="13"/>
  <c r="F104" i="13"/>
  <c r="G104" i="13"/>
  <c r="E105" i="13"/>
  <c r="F105" i="13"/>
  <c r="G105" i="13"/>
  <c r="E106" i="13"/>
  <c r="F106" i="13"/>
  <c r="G106" i="13"/>
  <c r="E107" i="13"/>
  <c r="F107" i="13"/>
  <c r="G107" i="13"/>
  <c r="E108" i="13"/>
  <c r="F108" i="13"/>
  <c r="G108" i="13"/>
  <c r="E109" i="13"/>
  <c r="F109" i="13"/>
  <c r="G109" i="13"/>
  <c r="E110" i="13"/>
  <c r="F110" i="13"/>
  <c r="G110" i="13"/>
  <c r="E111" i="13"/>
  <c r="F111" i="13"/>
  <c r="G111" i="13"/>
  <c r="E112" i="13"/>
  <c r="F112" i="13"/>
  <c r="G112" i="13"/>
  <c r="E113" i="13"/>
  <c r="F113" i="13"/>
  <c r="G113" i="13"/>
  <c r="E114" i="13"/>
  <c r="F114" i="13"/>
  <c r="G114" i="13"/>
  <c r="E115" i="13"/>
  <c r="F115" i="13"/>
  <c r="G115" i="13"/>
  <c r="E116" i="13"/>
  <c r="F116" i="13"/>
  <c r="G116" i="13"/>
  <c r="E117" i="13"/>
  <c r="F117" i="13"/>
  <c r="G117" i="13"/>
  <c r="E118" i="13"/>
  <c r="F118" i="13"/>
  <c r="G118" i="13"/>
  <c r="E119" i="13"/>
  <c r="F119" i="13"/>
  <c r="G119" i="13"/>
  <c r="E120" i="13"/>
  <c r="F120" i="13"/>
  <c r="G120" i="13"/>
  <c r="E121" i="13"/>
  <c r="F121" i="13"/>
  <c r="G121" i="13"/>
  <c r="E122" i="13"/>
  <c r="F122" i="13"/>
  <c r="G122" i="13"/>
  <c r="E123" i="13"/>
  <c r="F123" i="13"/>
  <c r="G123" i="13"/>
  <c r="E124" i="13"/>
  <c r="F124" i="13"/>
  <c r="G124" i="13"/>
  <c r="E125" i="13"/>
  <c r="F125" i="13"/>
  <c r="G125" i="13"/>
  <c r="E126" i="13"/>
  <c r="F126" i="13"/>
  <c r="G126" i="13"/>
  <c r="E127" i="13"/>
  <c r="F127" i="13"/>
  <c r="G127" i="13"/>
  <c r="E128" i="13"/>
  <c r="F128" i="13"/>
  <c r="G128" i="13"/>
  <c r="E129" i="13"/>
  <c r="F129" i="13"/>
  <c r="G129" i="13"/>
  <c r="E130" i="13"/>
  <c r="F130" i="13"/>
  <c r="G130" i="13"/>
  <c r="E131" i="13"/>
  <c r="F131" i="13"/>
  <c r="G131" i="13"/>
  <c r="E132" i="13"/>
  <c r="F132" i="13"/>
  <c r="G132" i="13"/>
  <c r="E133" i="13"/>
  <c r="F133" i="13"/>
  <c r="G133" i="13"/>
  <c r="E134" i="13"/>
  <c r="F134" i="13"/>
  <c r="G134" i="13"/>
  <c r="E135" i="13"/>
  <c r="F135" i="13"/>
  <c r="G135" i="13"/>
  <c r="E136" i="13"/>
  <c r="F136" i="13"/>
  <c r="G136" i="13"/>
  <c r="E137" i="13"/>
  <c r="F137" i="13"/>
  <c r="G137" i="13"/>
  <c r="E138" i="13"/>
  <c r="F138" i="13"/>
  <c r="G138" i="13"/>
  <c r="E139" i="13"/>
  <c r="F139" i="13"/>
  <c r="G139" i="13"/>
  <c r="E140" i="13"/>
  <c r="F140" i="13"/>
  <c r="G140" i="13"/>
  <c r="E141" i="13"/>
  <c r="F141" i="13"/>
  <c r="G141" i="13"/>
  <c r="E142" i="13"/>
  <c r="F142" i="13"/>
  <c r="G142" i="13"/>
  <c r="E143" i="13"/>
  <c r="F143" i="13"/>
  <c r="G143" i="13"/>
  <c r="E144" i="13"/>
  <c r="F144" i="13"/>
  <c r="G144" i="13"/>
  <c r="E145" i="13"/>
  <c r="F145" i="13"/>
  <c r="G145" i="13"/>
  <c r="E146" i="13"/>
  <c r="F146" i="13"/>
  <c r="G146" i="13"/>
  <c r="E147" i="13"/>
  <c r="F147" i="13"/>
  <c r="G147" i="13"/>
  <c r="E148" i="13"/>
  <c r="F148" i="13"/>
  <c r="G148" i="13"/>
  <c r="E149" i="13"/>
  <c r="F149" i="13"/>
  <c r="G149" i="13"/>
  <c r="E150" i="13"/>
  <c r="F150" i="13"/>
  <c r="G150" i="13"/>
  <c r="E151" i="13"/>
  <c r="F151" i="13"/>
  <c r="G151" i="13"/>
  <c r="E152" i="13"/>
  <c r="F152" i="13"/>
  <c r="G152" i="13"/>
  <c r="E153" i="13"/>
  <c r="F153" i="13"/>
  <c r="G153" i="13"/>
  <c r="E154" i="13"/>
  <c r="F154" i="13"/>
  <c r="G154" i="13"/>
  <c r="E155" i="13"/>
  <c r="F155" i="13"/>
  <c r="G155" i="13"/>
  <c r="E156" i="13"/>
  <c r="F156" i="13"/>
  <c r="G156" i="13"/>
  <c r="E157" i="13"/>
  <c r="F157" i="13"/>
  <c r="G157" i="13"/>
  <c r="E158" i="13"/>
  <c r="F158" i="13"/>
  <c r="G158" i="13"/>
  <c r="E159" i="13"/>
  <c r="F159" i="13"/>
  <c r="G159" i="13"/>
  <c r="E160" i="13"/>
  <c r="F160" i="13"/>
  <c r="G160" i="13"/>
  <c r="E161" i="13"/>
  <c r="F161" i="13"/>
  <c r="G161" i="13"/>
  <c r="E162" i="13"/>
  <c r="F162" i="13"/>
  <c r="G162" i="13"/>
  <c r="E163" i="13"/>
  <c r="F163" i="13"/>
  <c r="G163" i="13"/>
  <c r="E164" i="13"/>
  <c r="F164" i="13"/>
  <c r="G164" i="13"/>
  <c r="E165" i="13"/>
  <c r="F165" i="13"/>
  <c r="G165" i="13"/>
  <c r="E166" i="13"/>
  <c r="F166" i="13"/>
  <c r="G166" i="13"/>
  <c r="E167" i="13"/>
  <c r="F167" i="13"/>
  <c r="G167" i="13"/>
  <c r="E168" i="13"/>
  <c r="F168" i="13"/>
  <c r="G168" i="13"/>
  <c r="E169" i="13"/>
  <c r="F169" i="13"/>
  <c r="G169" i="13"/>
  <c r="E170" i="13"/>
  <c r="F170" i="13"/>
  <c r="G170" i="13"/>
  <c r="E171" i="13"/>
  <c r="F171" i="13"/>
  <c r="G171" i="13"/>
  <c r="E172" i="13"/>
  <c r="F172" i="13"/>
  <c r="G172" i="13"/>
  <c r="E173" i="13"/>
  <c r="F173" i="13"/>
  <c r="G173" i="13"/>
  <c r="E174" i="13"/>
  <c r="F174" i="13"/>
  <c r="G174" i="13"/>
  <c r="E175" i="13"/>
  <c r="F175" i="13"/>
  <c r="G175" i="13"/>
  <c r="E176" i="13"/>
  <c r="F176" i="13"/>
  <c r="G176" i="13"/>
  <c r="E177" i="13"/>
  <c r="F177" i="13"/>
  <c r="G177" i="13"/>
  <c r="E178" i="13"/>
  <c r="F178" i="13"/>
  <c r="G178" i="13"/>
  <c r="E179" i="13"/>
  <c r="F179" i="13"/>
  <c r="G179" i="13"/>
  <c r="E180" i="13"/>
  <c r="F180" i="13"/>
  <c r="G180" i="13"/>
  <c r="E181" i="13"/>
  <c r="F181" i="13"/>
  <c r="G181" i="13"/>
  <c r="E182" i="13"/>
  <c r="F182" i="13"/>
  <c r="G182" i="13"/>
  <c r="E183" i="13"/>
  <c r="F183" i="13"/>
  <c r="G183" i="13"/>
  <c r="E184" i="13"/>
  <c r="F184" i="13"/>
  <c r="G184" i="13"/>
  <c r="E185" i="13"/>
  <c r="F185" i="13"/>
  <c r="G185" i="13"/>
  <c r="E186" i="13"/>
  <c r="F186" i="13"/>
  <c r="G186" i="13"/>
  <c r="E187" i="13"/>
  <c r="F187" i="13"/>
  <c r="G187" i="13"/>
  <c r="E188" i="13"/>
  <c r="F188" i="13"/>
  <c r="G188" i="13"/>
  <c r="E189" i="13"/>
  <c r="F189" i="13"/>
  <c r="G189" i="13"/>
  <c r="E190" i="13"/>
  <c r="F190" i="13"/>
  <c r="G190" i="13"/>
  <c r="E191" i="13"/>
  <c r="F191" i="13"/>
  <c r="G191" i="13"/>
  <c r="E192" i="13"/>
  <c r="F192" i="13"/>
  <c r="G192" i="13"/>
  <c r="E193" i="13"/>
  <c r="F193" i="13"/>
  <c r="G193" i="13"/>
  <c r="E194" i="13"/>
  <c r="F194" i="13"/>
  <c r="G194" i="13"/>
  <c r="E195" i="13"/>
  <c r="F195" i="13"/>
  <c r="G195" i="13"/>
  <c r="E196" i="13"/>
  <c r="F196" i="13"/>
  <c r="G196" i="13"/>
  <c r="E197" i="13"/>
  <c r="F197" i="13"/>
  <c r="G197" i="13"/>
  <c r="E198" i="13"/>
  <c r="F198" i="13"/>
  <c r="G198" i="13"/>
  <c r="E199" i="13"/>
  <c r="F199" i="13"/>
  <c r="G199" i="13"/>
  <c r="E200" i="13"/>
  <c r="F200" i="13"/>
  <c r="G200" i="13"/>
  <c r="E201" i="13"/>
  <c r="F201" i="13"/>
  <c r="G201" i="13"/>
  <c r="E202" i="13"/>
  <c r="F202" i="13"/>
  <c r="G202" i="13"/>
  <c r="E203" i="13"/>
  <c r="F203" i="13"/>
  <c r="G203" i="13"/>
  <c r="E204" i="13"/>
  <c r="F204" i="13"/>
  <c r="G204" i="13"/>
  <c r="E205" i="13"/>
  <c r="F205" i="13"/>
  <c r="G205" i="13"/>
  <c r="E206" i="13"/>
  <c r="F206" i="13"/>
  <c r="G206" i="13"/>
  <c r="E207" i="13"/>
  <c r="F207" i="13"/>
  <c r="G207" i="13"/>
  <c r="E208" i="13"/>
  <c r="F208" i="13"/>
  <c r="G208" i="13"/>
  <c r="E209" i="13"/>
  <c r="F209" i="13"/>
  <c r="G209" i="13"/>
  <c r="E210" i="13"/>
  <c r="F210" i="13"/>
  <c r="G210" i="13"/>
  <c r="E211" i="13"/>
  <c r="F211" i="13"/>
  <c r="G211" i="13"/>
  <c r="E212" i="13"/>
  <c r="F212" i="13"/>
  <c r="G212" i="13"/>
  <c r="E213" i="13"/>
  <c r="F213" i="13"/>
  <c r="G213" i="13"/>
  <c r="E214" i="13"/>
  <c r="F214" i="13"/>
  <c r="G214" i="13"/>
  <c r="E215" i="13"/>
  <c r="F215" i="13"/>
  <c r="G215" i="13"/>
  <c r="E216" i="13"/>
  <c r="F216" i="13"/>
  <c r="G216" i="13"/>
  <c r="E217" i="13"/>
  <c r="F217" i="13"/>
  <c r="G217" i="13"/>
  <c r="E218" i="13"/>
  <c r="F218" i="13"/>
  <c r="G218" i="13"/>
  <c r="E219" i="13"/>
  <c r="F219" i="13"/>
  <c r="G219" i="13"/>
  <c r="E220" i="13"/>
  <c r="F220" i="13"/>
  <c r="G220" i="13"/>
  <c r="E221" i="13"/>
  <c r="F221" i="13"/>
  <c r="G221" i="13"/>
  <c r="E222" i="13"/>
  <c r="F222" i="13"/>
  <c r="G222" i="13"/>
  <c r="E223" i="13"/>
  <c r="F223" i="13"/>
  <c r="G223" i="13"/>
  <c r="E224" i="13"/>
  <c r="F224" i="13"/>
  <c r="G224" i="13"/>
  <c r="E225" i="13"/>
  <c r="F225" i="13"/>
  <c r="G225" i="13"/>
  <c r="E226" i="13"/>
  <c r="F226" i="13"/>
  <c r="G226" i="13"/>
  <c r="E227" i="13"/>
  <c r="F227" i="13"/>
  <c r="G227" i="13"/>
  <c r="E228" i="13"/>
  <c r="F228" i="13"/>
  <c r="G228" i="13"/>
  <c r="E229" i="13"/>
  <c r="F229" i="13"/>
  <c r="G229" i="13"/>
  <c r="E230" i="13"/>
  <c r="F230" i="13"/>
  <c r="G230" i="13"/>
  <c r="E231" i="13"/>
  <c r="F231" i="13"/>
  <c r="G231" i="13"/>
  <c r="E232" i="13"/>
  <c r="F232" i="13"/>
  <c r="G232" i="13"/>
  <c r="E233" i="13"/>
  <c r="F233" i="13"/>
  <c r="G233" i="13"/>
  <c r="E234" i="13"/>
  <c r="F234" i="13"/>
  <c r="G234" i="13"/>
  <c r="E235" i="13"/>
  <c r="F235" i="13"/>
  <c r="G235" i="13"/>
  <c r="E236" i="13"/>
  <c r="F236" i="13"/>
  <c r="G236" i="13"/>
  <c r="E237" i="13"/>
  <c r="F237" i="13"/>
  <c r="G237" i="13"/>
  <c r="E238" i="13"/>
  <c r="F238" i="13"/>
  <c r="G238" i="13"/>
  <c r="E239" i="13"/>
  <c r="F239" i="13"/>
  <c r="G239" i="13"/>
  <c r="E240" i="13"/>
  <c r="F240" i="13"/>
  <c r="G240" i="13"/>
  <c r="E241" i="13"/>
  <c r="F241" i="13"/>
  <c r="G241" i="13"/>
  <c r="E242" i="13"/>
  <c r="F242" i="13"/>
  <c r="G242" i="13"/>
  <c r="E243" i="13"/>
  <c r="F243" i="13"/>
  <c r="G243" i="13"/>
  <c r="E244" i="13"/>
  <c r="F244" i="13"/>
  <c r="G244" i="13"/>
  <c r="E245" i="13"/>
  <c r="F245" i="13"/>
  <c r="G245" i="13"/>
  <c r="E246" i="13"/>
  <c r="F246" i="13"/>
  <c r="G246" i="13"/>
  <c r="E247" i="13"/>
  <c r="F247" i="13"/>
  <c r="G247" i="13"/>
  <c r="E248" i="13"/>
  <c r="F248" i="13"/>
  <c r="G248" i="13"/>
  <c r="E249" i="13"/>
  <c r="F249" i="13"/>
  <c r="G249" i="13"/>
  <c r="E250" i="13"/>
  <c r="F250" i="13"/>
  <c r="G250" i="13"/>
  <c r="E251" i="13"/>
  <c r="F251" i="13"/>
  <c r="G251" i="13"/>
  <c r="E252" i="13"/>
  <c r="F252" i="13"/>
  <c r="G252" i="13"/>
  <c r="E253" i="13"/>
  <c r="F253" i="13"/>
  <c r="G253" i="13"/>
  <c r="E254" i="13"/>
  <c r="F254" i="13"/>
  <c r="G254" i="13"/>
  <c r="E255" i="13"/>
  <c r="F255" i="13"/>
  <c r="G255" i="13"/>
  <c r="E256" i="13"/>
  <c r="F256" i="13"/>
  <c r="G256" i="13"/>
  <c r="E257" i="13"/>
  <c r="F257" i="13"/>
  <c r="G257" i="13"/>
  <c r="E258" i="13"/>
  <c r="F258" i="13"/>
  <c r="G258" i="13"/>
  <c r="E259" i="13"/>
  <c r="F259" i="13"/>
  <c r="G259" i="13"/>
  <c r="E260" i="13"/>
  <c r="F260" i="13"/>
  <c r="G260" i="13"/>
  <c r="E261" i="13"/>
  <c r="F261" i="13"/>
  <c r="G261" i="13"/>
  <c r="E262" i="13"/>
  <c r="F262" i="13"/>
  <c r="G262" i="13"/>
  <c r="E263" i="13"/>
  <c r="F263" i="13"/>
  <c r="G263" i="13"/>
  <c r="E264" i="13"/>
  <c r="F264" i="13"/>
  <c r="G264" i="13"/>
  <c r="E265" i="13"/>
  <c r="F265" i="13"/>
  <c r="G265" i="13"/>
  <c r="E266" i="13"/>
  <c r="F266" i="13"/>
  <c r="G266" i="13"/>
  <c r="E267" i="13"/>
  <c r="F267" i="13"/>
  <c r="G267" i="13"/>
  <c r="E268" i="13"/>
  <c r="F268" i="13"/>
  <c r="G268" i="13"/>
  <c r="E269" i="13"/>
  <c r="F269" i="13"/>
  <c r="G269" i="13"/>
  <c r="E270" i="13"/>
  <c r="F270" i="13"/>
  <c r="G270" i="13"/>
  <c r="E271" i="13"/>
  <c r="F271" i="13"/>
  <c r="G271" i="13"/>
  <c r="E272" i="13"/>
  <c r="F272" i="13"/>
  <c r="G272" i="13"/>
  <c r="E273" i="13"/>
  <c r="F273" i="13"/>
  <c r="G273" i="13"/>
  <c r="E274" i="13"/>
  <c r="F274" i="13"/>
  <c r="G274" i="13"/>
  <c r="E275" i="13"/>
  <c r="F275" i="13"/>
  <c r="G275" i="13"/>
  <c r="E276" i="13"/>
  <c r="F276" i="13"/>
  <c r="G276" i="13"/>
  <c r="E277" i="13"/>
  <c r="F277" i="13"/>
  <c r="G277" i="13"/>
  <c r="E278" i="13"/>
  <c r="F278" i="13"/>
  <c r="G278" i="13"/>
  <c r="E279" i="13"/>
  <c r="F279" i="13"/>
  <c r="G279" i="13"/>
  <c r="E280" i="13"/>
  <c r="F280" i="13"/>
  <c r="G280" i="13"/>
  <c r="E281" i="13"/>
  <c r="F281" i="13"/>
  <c r="G281" i="13"/>
  <c r="E282" i="13"/>
  <c r="F282" i="13"/>
  <c r="G282" i="13"/>
  <c r="E283" i="13"/>
  <c r="F283" i="13"/>
  <c r="G283" i="13"/>
  <c r="E284" i="13"/>
  <c r="F284" i="13"/>
  <c r="G284" i="13"/>
  <c r="E285" i="13"/>
  <c r="F285" i="13"/>
  <c r="G285" i="13"/>
  <c r="E286" i="13"/>
  <c r="F286" i="13"/>
  <c r="G286" i="13"/>
  <c r="E287" i="13"/>
  <c r="F287" i="13"/>
  <c r="G287" i="13"/>
  <c r="E288" i="13"/>
  <c r="F288" i="13"/>
  <c r="G288" i="13"/>
  <c r="E289" i="13"/>
  <c r="F289" i="13"/>
  <c r="G289" i="13"/>
  <c r="E290" i="13"/>
  <c r="F290" i="13"/>
  <c r="G290" i="13"/>
  <c r="E291" i="13"/>
  <c r="F291" i="13"/>
  <c r="G291" i="13"/>
  <c r="E292" i="13"/>
  <c r="F292" i="13"/>
  <c r="G292" i="13"/>
  <c r="E293" i="13"/>
  <c r="F293" i="13"/>
  <c r="G293" i="13"/>
  <c r="E294" i="13"/>
  <c r="F294" i="13"/>
  <c r="G294" i="13"/>
  <c r="E295" i="13"/>
  <c r="F295" i="13"/>
  <c r="G295" i="13"/>
  <c r="E296" i="13"/>
  <c r="F296" i="13"/>
  <c r="G296" i="13"/>
  <c r="E297" i="13"/>
  <c r="F297" i="13"/>
  <c r="G297" i="13"/>
  <c r="E298" i="13"/>
  <c r="F298" i="13"/>
  <c r="G298" i="13"/>
  <c r="E299" i="13"/>
  <c r="F299" i="13"/>
  <c r="G299" i="13"/>
  <c r="E300" i="13"/>
  <c r="F300" i="13"/>
  <c r="G300" i="13"/>
  <c r="E301" i="13"/>
  <c r="F301" i="13"/>
  <c r="G301" i="13"/>
  <c r="E302" i="13"/>
  <c r="F302" i="13"/>
  <c r="G302" i="13"/>
  <c r="E303" i="13"/>
  <c r="F303" i="13"/>
  <c r="G303" i="13"/>
  <c r="E304" i="13"/>
  <c r="F304" i="13"/>
  <c r="G304" i="13"/>
  <c r="E305" i="13"/>
  <c r="F305" i="13"/>
  <c r="G305" i="13"/>
  <c r="E306" i="13"/>
  <c r="F306" i="13"/>
  <c r="G306" i="13"/>
  <c r="E307" i="13"/>
  <c r="F307" i="13"/>
  <c r="G307" i="13"/>
  <c r="E308" i="13"/>
  <c r="F308" i="13"/>
  <c r="G308" i="13"/>
  <c r="E309" i="13"/>
  <c r="F309" i="13"/>
  <c r="G309" i="13"/>
  <c r="E310" i="13"/>
  <c r="F310" i="13"/>
  <c r="G310" i="13"/>
  <c r="E311" i="13"/>
  <c r="F311" i="13"/>
  <c r="G311" i="13"/>
  <c r="E312" i="13"/>
  <c r="F312" i="13"/>
  <c r="G312" i="13"/>
  <c r="E313" i="13"/>
  <c r="F313" i="13"/>
  <c r="G313" i="13"/>
  <c r="E314" i="13"/>
  <c r="F314" i="13"/>
  <c r="G314" i="13"/>
  <c r="E315" i="13"/>
  <c r="F315" i="13"/>
  <c r="G315" i="13"/>
  <c r="E316" i="13"/>
  <c r="F316" i="13"/>
  <c r="G316" i="13"/>
  <c r="E317" i="13"/>
  <c r="F317" i="13"/>
  <c r="G317" i="13"/>
  <c r="E318" i="13"/>
  <c r="F318" i="13"/>
  <c r="G318" i="13"/>
  <c r="E319" i="13"/>
  <c r="F319" i="13"/>
  <c r="G319" i="13"/>
  <c r="E320" i="13"/>
  <c r="F320" i="13"/>
  <c r="G320" i="13"/>
  <c r="E321" i="13"/>
  <c r="F321" i="13"/>
  <c r="G321" i="13"/>
  <c r="E322" i="13"/>
  <c r="F322" i="13"/>
  <c r="G322" i="13"/>
  <c r="E323" i="13"/>
  <c r="F323" i="13"/>
  <c r="G323" i="13"/>
  <c r="E324" i="13"/>
  <c r="F324" i="13"/>
  <c r="G324" i="13"/>
  <c r="E325" i="13"/>
  <c r="F325" i="13"/>
  <c r="G325" i="13"/>
  <c r="E326" i="13"/>
  <c r="F326" i="13"/>
  <c r="G326" i="13"/>
  <c r="E327" i="13"/>
  <c r="F327" i="13"/>
  <c r="G327" i="13"/>
  <c r="E328" i="13"/>
  <c r="F328" i="13"/>
  <c r="G328" i="13"/>
  <c r="E329" i="13"/>
  <c r="F329" i="13"/>
  <c r="G329" i="13"/>
  <c r="E330" i="13"/>
  <c r="F330" i="13"/>
  <c r="G330" i="13"/>
  <c r="E331" i="13"/>
  <c r="F331" i="13"/>
  <c r="G331" i="13"/>
  <c r="E332" i="13"/>
  <c r="F332" i="13"/>
  <c r="G332" i="13"/>
  <c r="E333" i="13"/>
  <c r="F333" i="13"/>
  <c r="G333" i="13"/>
  <c r="E334" i="13"/>
  <c r="F334" i="13"/>
  <c r="G334" i="13"/>
  <c r="E335" i="13"/>
  <c r="F335" i="13"/>
  <c r="G335" i="13"/>
  <c r="E336" i="13"/>
  <c r="F336" i="13"/>
  <c r="G336" i="13"/>
  <c r="E337" i="13"/>
  <c r="F337" i="13"/>
  <c r="G337" i="13"/>
  <c r="E338" i="13"/>
  <c r="F338" i="13"/>
  <c r="G338" i="13"/>
  <c r="E339" i="13"/>
  <c r="F339" i="13"/>
  <c r="G339" i="13"/>
  <c r="E340" i="13"/>
  <c r="F340" i="13"/>
  <c r="G340" i="13"/>
  <c r="E341" i="13"/>
  <c r="F341" i="13"/>
  <c r="G341" i="13"/>
  <c r="E342" i="13"/>
  <c r="F342" i="13"/>
  <c r="G342" i="13"/>
  <c r="E343" i="13"/>
  <c r="F343" i="13"/>
  <c r="G343" i="13"/>
  <c r="E344" i="13"/>
  <c r="F344" i="13"/>
  <c r="G344" i="13"/>
  <c r="E345" i="13"/>
  <c r="F345" i="13"/>
  <c r="G345" i="13"/>
  <c r="E346" i="13"/>
  <c r="F346" i="13"/>
  <c r="G346" i="13"/>
  <c r="E347" i="13"/>
  <c r="F347" i="13"/>
  <c r="G347" i="13"/>
  <c r="E348" i="13"/>
  <c r="F348" i="13"/>
  <c r="G348" i="13"/>
  <c r="E349" i="13"/>
  <c r="F349" i="13"/>
  <c r="G349" i="13"/>
  <c r="E350" i="13"/>
  <c r="F350" i="13"/>
  <c r="G350" i="13"/>
  <c r="E351" i="13"/>
  <c r="F351" i="13"/>
  <c r="G351" i="13"/>
  <c r="E352" i="13"/>
  <c r="F352" i="13"/>
  <c r="G352" i="13"/>
  <c r="E353" i="13"/>
  <c r="F353" i="13"/>
  <c r="G353" i="13"/>
  <c r="E354" i="13"/>
  <c r="F354" i="13"/>
  <c r="G354" i="13"/>
  <c r="E355" i="13"/>
  <c r="F355" i="13"/>
  <c r="G355" i="13"/>
  <c r="E356" i="13"/>
  <c r="F356" i="13"/>
  <c r="G356" i="13"/>
  <c r="E357" i="13"/>
  <c r="F357" i="13"/>
  <c r="G357" i="13"/>
  <c r="E358" i="13"/>
  <c r="F358" i="13"/>
  <c r="G358" i="13"/>
  <c r="E359" i="13"/>
  <c r="F359" i="13"/>
  <c r="G359" i="13"/>
  <c r="E360" i="13"/>
  <c r="F360" i="13"/>
  <c r="G360" i="13"/>
  <c r="E361" i="13"/>
  <c r="F361" i="13"/>
  <c r="G361" i="13"/>
  <c r="E362" i="13"/>
  <c r="F362" i="13"/>
  <c r="G362" i="13"/>
  <c r="E363" i="13"/>
  <c r="F363" i="13"/>
  <c r="G363" i="13"/>
  <c r="E364" i="13"/>
  <c r="F364" i="13"/>
  <c r="G364" i="13"/>
  <c r="E365" i="13"/>
  <c r="F365" i="13"/>
  <c r="G365" i="13"/>
  <c r="E366" i="13"/>
  <c r="F366" i="13"/>
  <c r="G366" i="13"/>
  <c r="E367" i="13"/>
  <c r="F367" i="13"/>
  <c r="G367" i="13"/>
  <c r="E368" i="13"/>
  <c r="F368" i="13"/>
  <c r="G368" i="13"/>
  <c r="E369" i="13"/>
  <c r="F369" i="13"/>
  <c r="G369" i="13"/>
  <c r="E370" i="13"/>
  <c r="F370" i="13"/>
  <c r="G370" i="13"/>
  <c r="E371" i="13"/>
  <c r="F371" i="13"/>
  <c r="G371" i="13"/>
  <c r="E372" i="13"/>
  <c r="F372" i="13"/>
  <c r="G372" i="13"/>
  <c r="E373" i="13"/>
  <c r="F373" i="13"/>
  <c r="G373" i="13"/>
  <c r="E374" i="13"/>
  <c r="F374" i="13"/>
  <c r="G374" i="13"/>
  <c r="E375" i="13"/>
  <c r="F375" i="13"/>
  <c r="G375" i="13"/>
  <c r="E376" i="13"/>
  <c r="F376" i="13"/>
  <c r="G376" i="13"/>
  <c r="E377" i="13"/>
  <c r="F377" i="13"/>
  <c r="G377" i="13"/>
  <c r="E378" i="13"/>
  <c r="F378" i="13"/>
  <c r="G378" i="13"/>
  <c r="E379" i="13"/>
  <c r="F379" i="13"/>
  <c r="G379" i="13"/>
  <c r="E380" i="13"/>
  <c r="F380" i="13"/>
  <c r="G380" i="13"/>
  <c r="E381" i="13"/>
  <c r="F381" i="13"/>
  <c r="G381" i="13"/>
  <c r="E382" i="13"/>
  <c r="F382" i="13"/>
  <c r="G382" i="13"/>
  <c r="E383" i="13"/>
  <c r="F383" i="13"/>
  <c r="G383" i="13"/>
  <c r="E384" i="13"/>
  <c r="F384" i="13"/>
  <c r="G384" i="13"/>
  <c r="E385" i="13"/>
  <c r="F385" i="13"/>
  <c r="G385" i="13"/>
  <c r="E386" i="13"/>
  <c r="F386" i="13"/>
  <c r="G386" i="13"/>
  <c r="E387" i="13"/>
  <c r="F387" i="13"/>
  <c r="G387" i="13"/>
  <c r="E388" i="13"/>
  <c r="F388" i="13"/>
  <c r="G388" i="13"/>
  <c r="E389" i="13"/>
  <c r="F389" i="13"/>
  <c r="G389" i="13"/>
  <c r="E390" i="13"/>
  <c r="F390" i="13"/>
  <c r="G390" i="13"/>
  <c r="S6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7" i="13"/>
  <c r="E48" i="13"/>
  <c r="F48" i="13"/>
  <c r="G48" i="13"/>
  <c r="E49" i="13"/>
  <c r="F49" i="13"/>
  <c r="G49" i="13"/>
  <c r="E50" i="13"/>
  <c r="F50" i="13"/>
  <c r="G50" i="13"/>
  <c r="E51" i="13"/>
  <c r="F51" i="13"/>
  <c r="G51" i="13"/>
  <c r="E52" i="13"/>
  <c r="F52" i="13"/>
  <c r="G52" i="13"/>
  <c r="E53" i="13"/>
  <c r="F53" i="13"/>
  <c r="G53" i="13"/>
  <c r="E54" i="13"/>
  <c r="F54" i="13"/>
  <c r="G54" i="13"/>
  <c r="E55" i="13"/>
  <c r="F55" i="13"/>
  <c r="G55" i="13"/>
  <c r="E56" i="13"/>
  <c r="F56" i="13"/>
  <c r="G56" i="13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G62" i="13"/>
  <c r="E63" i="13"/>
  <c r="F63" i="13"/>
  <c r="G63" i="13"/>
  <c r="E64" i="13"/>
  <c r="F64" i="13"/>
  <c r="G64" i="13"/>
  <c r="E65" i="13"/>
  <c r="F65" i="13"/>
  <c r="G65" i="13"/>
  <c r="E66" i="13"/>
  <c r="F66" i="13"/>
  <c r="G66" i="13"/>
  <c r="E67" i="13"/>
  <c r="F67" i="13"/>
  <c r="G67" i="13"/>
  <c r="E68" i="13"/>
  <c r="F68" i="13"/>
  <c r="G68" i="13"/>
  <c r="E69" i="13"/>
  <c r="F69" i="13"/>
  <c r="G69" i="13"/>
  <c r="E70" i="13"/>
  <c r="F70" i="13"/>
  <c r="G70" i="13"/>
  <c r="E71" i="13"/>
  <c r="F71" i="13"/>
  <c r="G71" i="13"/>
  <c r="E72" i="13"/>
  <c r="F72" i="13"/>
  <c r="G72" i="13"/>
  <c r="E73" i="13"/>
  <c r="F73" i="13"/>
  <c r="G73" i="13"/>
  <c r="E74" i="13"/>
  <c r="F74" i="13"/>
  <c r="G74" i="13"/>
  <c r="E75" i="13"/>
  <c r="F75" i="13"/>
  <c r="G75" i="13"/>
  <c r="E76" i="13"/>
  <c r="F76" i="13"/>
  <c r="G76" i="13"/>
  <c r="E77" i="13"/>
  <c r="F77" i="13"/>
  <c r="G77" i="13"/>
  <c r="E78" i="13"/>
  <c r="F78" i="13"/>
  <c r="G78" i="13"/>
  <c r="E79" i="13"/>
  <c r="F79" i="13"/>
  <c r="G79" i="13"/>
  <c r="E80" i="13"/>
  <c r="F80" i="13"/>
  <c r="G80" i="13"/>
  <c r="E81" i="13"/>
  <c r="F81" i="13"/>
  <c r="G81" i="13"/>
  <c r="E82" i="13"/>
  <c r="F82" i="13"/>
  <c r="G82" i="13"/>
  <c r="E83" i="13"/>
  <c r="F83" i="13"/>
  <c r="G83" i="13"/>
  <c r="E84" i="13"/>
  <c r="F84" i="13"/>
  <c r="G84" i="13"/>
  <c r="E85" i="13"/>
  <c r="F85" i="13"/>
  <c r="G85" i="13"/>
  <c r="E86" i="13"/>
  <c r="F86" i="13"/>
  <c r="G86" i="13"/>
  <c r="E87" i="13"/>
  <c r="F87" i="13"/>
  <c r="G87" i="13"/>
  <c r="E88" i="13"/>
  <c r="F88" i="13"/>
  <c r="G88" i="13"/>
  <c r="E89" i="13"/>
  <c r="F89" i="13"/>
  <c r="G89" i="13"/>
  <c r="E90" i="13"/>
  <c r="F90" i="13"/>
  <c r="G90" i="13"/>
  <c r="E91" i="13"/>
  <c r="F91" i="13"/>
  <c r="G91" i="13"/>
  <c r="E92" i="13"/>
  <c r="F92" i="13"/>
  <c r="G92" i="13"/>
  <c r="E93" i="13"/>
  <c r="F93" i="13"/>
  <c r="G93" i="13"/>
  <c r="E94" i="13"/>
  <c r="F94" i="13"/>
  <c r="G94" i="13"/>
  <c r="E95" i="13"/>
  <c r="F95" i="13"/>
  <c r="G95" i="13"/>
  <c r="E96" i="13"/>
  <c r="F96" i="13"/>
  <c r="G96" i="13"/>
  <c r="E97" i="13"/>
  <c r="F97" i="13"/>
  <c r="G97" i="13"/>
  <c r="E98" i="13"/>
  <c r="F98" i="13"/>
  <c r="G98" i="13"/>
  <c r="E99" i="13"/>
  <c r="F99" i="13"/>
  <c r="G99" i="13"/>
  <c r="E100" i="13"/>
  <c r="F100" i="13"/>
  <c r="G100" i="13"/>
  <c r="E101" i="13"/>
  <c r="F101" i="13"/>
  <c r="G101" i="13"/>
  <c r="E102" i="13"/>
  <c r="F102" i="13"/>
  <c r="G102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E20" i="13"/>
  <c r="F20" i="13"/>
  <c r="G20" i="13"/>
  <c r="E21" i="13"/>
  <c r="F21" i="13"/>
  <c r="G21" i="13"/>
  <c r="E22" i="13"/>
  <c r="F22" i="13"/>
  <c r="G22" i="13"/>
  <c r="E23" i="13"/>
  <c r="F23" i="13"/>
  <c r="G23" i="13"/>
  <c r="E24" i="13"/>
  <c r="F24" i="13"/>
  <c r="G24" i="13"/>
  <c r="E25" i="13"/>
  <c r="F25" i="13"/>
  <c r="G25" i="13"/>
  <c r="E26" i="13"/>
  <c r="F26" i="13"/>
  <c r="G26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47" i="13"/>
  <c r="F47" i="13"/>
  <c r="G47" i="13"/>
  <c r="G7" i="13"/>
  <c r="F7" i="13"/>
  <c r="E7" i="13"/>
  <c r="L8" i="12" l="1"/>
  <c r="L7" i="12"/>
  <c r="L6" i="12"/>
  <c r="G18" i="6" l="1"/>
  <c r="S49" i="14" s="1"/>
  <c r="G16" i="6"/>
  <c r="C24" i="6"/>
  <c r="C22" i="6"/>
  <c r="C21" i="6"/>
  <c r="C20" i="6"/>
  <c r="C16" i="6"/>
  <c r="C17" i="6"/>
  <c r="C18" i="6"/>
  <c r="C19" i="6"/>
  <c r="C15" i="6"/>
  <c r="L16" i="12"/>
  <c r="L15" i="12"/>
  <c r="L14" i="12"/>
  <c r="L13" i="12"/>
  <c r="L9" i="12"/>
  <c r="F21" i="14" l="1"/>
  <c r="S51" i="14"/>
  <c r="D21" i="6"/>
  <c r="D22" i="6"/>
  <c r="D19" i="6"/>
  <c r="D18" i="6"/>
  <c r="D17" i="6"/>
  <c r="D20" i="6"/>
  <c r="D54" i="12"/>
  <c r="AB18" i="14" l="1"/>
  <c r="G17" i="9"/>
  <c r="G16" i="9"/>
  <c r="G19" i="9"/>
  <c r="G5" i="9"/>
  <c r="G22" i="9"/>
  <c r="G15" i="9" l="1"/>
  <c r="K12" i="14" l="1"/>
  <c r="K11" i="14"/>
  <c r="D5" i="4"/>
  <c r="D22" i="12"/>
  <c r="D32" i="12"/>
  <c r="D31" i="12"/>
  <c r="D30" i="12"/>
  <c r="D29" i="12"/>
  <c r="G4" i="9"/>
  <c r="G24" i="9"/>
  <c r="D28" i="12" s="1"/>
  <c r="G23" i="9"/>
  <c r="D27" i="12" s="1"/>
  <c r="D20" i="12"/>
  <c r="D19" i="12"/>
  <c r="G27" i="6"/>
  <c r="H20" i="6" s="1"/>
  <c r="G12" i="6"/>
  <c r="G3" i="6"/>
  <c r="D26" i="12"/>
  <c r="D25" i="12"/>
  <c r="D24" i="12"/>
  <c r="D23" i="12"/>
  <c r="D38" i="12"/>
  <c r="D39" i="12"/>
  <c r="D40" i="12"/>
  <c r="D37" i="12"/>
  <c r="G6" i="9"/>
  <c r="G27" i="9" s="1"/>
  <c r="D36" i="12"/>
  <c r="C3" i="8"/>
  <c r="D3" i="8" s="1"/>
  <c r="B3" i="8"/>
  <c r="G30" i="8" s="1"/>
  <c r="C14" i="6"/>
  <c r="G14" i="9"/>
  <c r="C10" i="14" s="1"/>
  <c r="F22" i="14" s="1"/>
  <c r="D13" i="12"/>
  <c r="G8" i="4"/>
  <c r="G7" i="4"/>
  <c r="G6" i="4"/>
  <c r="G5" i="4"/>
  <c r="G4" i="4"/>
  <c r="G3" i="4"/>
  <c r="D14" i="12"/>
  <c r="D9" i="12"/>
  <c r="D8" i="12"/>
  <c r="D7" i="12"/>
  <c r="H5" i="14" s="1"/>
  <c r="D6" i="12"/>
  <c r="G18" i="9"/>
  <c r="G10" i="9"/>
  <c r="G20" i="4"/>
  <c r="D33" i="8"/>
  <c r="C33" i="8"/>
  <c r="D32" i="8"/>
  <c r="C32" i="8"/>
  <c r="D31" i="8"/>
  <c r="C31" i="8"/>
  <c r="D28" i="13" s="1"/>
  <c r="D30" i="8"/>
  <c r="C30" i="8"/>
  <c r="D29" i="8"/>
  <c r="C29" i="8"/>
  <c r="D26" i="13" s="1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19" i="13" s="1"/>
  <c r="J22" i="8"/>
  <c r="D21" i="8"/>
  <c r="C21" i="8"/>
  <c r="D20" i="8"/>
  <c r="C20" i="8"/>
  <c r="D19" i="8"/>
  <c r="C19" i="8"/>
  <c r="D18" i="8"/>
  <c r="C18" i="8"/>
  <c r="D15" i="13" s="1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8" i="13" s="1"/>
  <c r="D10" i="8"/>
  <c r="C10" i="8"/>
  <c r="D3" i="4"/>
  <c r="B6" i="8"/>
  <c r="J18" i="8" l="1"/>
  <c r="J29" i="8"/>
  <c r="H3" i="6"/>
  <c r="J17" i="14"/>
  <c r="N17" i="14"/>
  <c r="C11" i="14"/>
  <c r="C12" i="14" s="1"/>
  <c r="F23" i="14"/>
  <c r="M25" i="8"/>
  <c r="M33" i="8"/>
  <c r="J12" i="8"/>
  <c r="D9" i="13"/>
  <c r="J16" i="8"/>
  <c r="D13" i="13"/>
  <c r="J23" i="8"/>
  <c r="D20" i="13"/>
  <c r="J30" i="8"/>
  <c r="D27" i="13"/>
  <c r="D320" i="13"/>
  <c r="D272" i="13"/>
  <c r="D176" i="13"/>
  <c r="D104" i="13"/>
  <c r="D200" i="13"/>
  <c r="D32" i="13"/>
  <c r="J20" i="8"/>
  <c r="D17" i="13"/>
  <c r="J32" i="8"/>
  <c r="D29" i="13"/>
  <c r="J17" i="8"/>
  <c r="D14" i="13"/>
  <c r="D331" i="13"/>
  <c r="D43" i="13"/>
  <c r="D211" i="13"/>
  <c r="D283" i="13"/>
  <c r="D187" i="13"/>
  <c r="D115" i="13"/>
  <c r="J24" i="8"/>
  <c r="D21" i="13"/>
  <c r="D338" i="13"/>
  <c r="D290" i="13"/>
  <c r="D50" i="13"/>
  <c r="D218" i="13"/>
  <c r="D194" i="13"/>
  <c r="D122" i="13"/>
  <c r="J31" i="8"/>
  <c r="J14" i="8"/>
  <c r="D11" i="13"/>
  <c r="M21" i="8"/>
  <c r="J25" i="8"/>
  <c r="D22" i="13"/>
  <c r="M12" i="8"/>
  <c r="D327" i="13"/>
  <c r="D111" i="13"/>
  <c r="D39" i="13"/>
  <c r="D207" i="13"/>
  <c r="D279" i="13"/>
  <c r="D183" i="13"/>
  <c r="J27" i="8"/>
  <c r="D24" i="13"/>
  <c r="J13" i="8"/>
  <c r="D10" i="13"/>
  <c r="J15" i="8"/>
  <c r="D12" i="13"/>
  <c r="J10" i="8"/>
  <c r="D7" i="13"/>
  <c r="G11" i="8"/>
  <c r="M13" i="8"/>
  <c r="J19" i="8"/>
  <c r="D16" i="13"/>
  <c r="J21" i="8"/>
  <c r="D18" i="13"/>
  <c r="J26" i="8"/>
  <c r="D23" i="13"/>
  <c r="J28" i="8"/>
  <c r="D25" i="13"/>
  <c r="D340" i="13"/>
  <c r="D124" i="13"/>
  <c r="D292" i="13"/>
  <c r="D52" i="13"/>
  <c r="D220" i="13"/>
  <c r="D196" i="13"/>
  <c r="J33" i="8"/>
  <c r="D30" i="13"/>
  <c r="M26" i="8"/>
  <c r="G19" i="8"/>
  <c r="C10" i="6"/>
  <c r="H19" i="6"/>
  <c r="H18" i="6"/>
  <c r="D6" i="8"/>
  <c r="C6" i="8"/>
  <c r="M17" i="8"/>
  <c r="M11" i="8"/>
  <c r="M23" i="8"/>
  <c r="M28" i="8"/>
  <c r="M18" i="8"/>
  <c r="M29" i="8"/>
  <c r="M32" i="8"/>
  <c r="J11" i="8"/>
  <c r="D18" i="12"/>
  <c r="H16" i="6"/>
  <c r="M31" i="8"/>
  <c r="H4" i="4"/>
  <c r="I4" i="4" s="1"/>
  <c r="G15" i="8"/>
  <c r="G21" i="8"/>
  <c r="G23" i="8"/>
  <c r="G27" i="8"/>
  <c r="D15" i="6"/>
  <c r="G29" i="8"/>
  <c r="G31" i="8"/>
  <c r="G20" i="8"/>
  <c r="G16" i="8"/>
  <c r="D16" i="6"/>
  <c r="G10" i="8"/>
  <c r="G14" i="8"/>
  <c r="G24" i="8"/>
  <c r="G28" i="8"/>
  <c r="D14" i="6"/>
  <c r="G32" i="8"/>
  <c r="C9" i="6"/>
  <c r="C21" i="14" s="1"/>
  <c r="M10" i="8"/>
  <c r="G13" i="8"/>
  <c r="M15" i="8"/>
  <c r="G18" i="8"/>
  <c r="M20" i="8"/>
  <c r="G26" i="8"/>
  <c r="M22" i="8"/>
  <c r="G12" i="8"/>
  <c r="M14" i="8"/>
  <c r="G17" i="8"/>
  <c r="M19" i="8"/>
  <c r="G25" i="8"/>
  <c r="M27" i="8"/>
  <c r="G33" i="8"/>
  <c r="M30" i="8"/>
  <c r="M16" i="8"/>
  <c r="G22" i="8"/>
  <c r="M24" i="8"/>
  <c r="H3" i="4"/>
  <c r="I3" i="4" s="1"/>
  <c r="D6" i="4"/>
  <c r="D21" i="12"/>
  <c r="D4" i="4"/>
  <c r="J6" i="8" l="1"/>
  <c r="C11" i="6"/>
  <c r="G17" i="6" s="1"/>
  <c r="G4" i="6"/>
  <c r="B55" i="14" s="1"/>
  <c r="B56" i="14" s="1"/>
  <c r="Y18" i="14"/>
  <c r="C22" i="14"/>
  <c r="D21" i="14"/>
  <c r="C23" i="14"/>
  <c r="D337" i="13"/>
  <c r="D217" i="13"/>
  <c r="D193" i="13"/>
  <c r="D121" i="13"/>
  <c r="D289" i="13"/>
  <c r="D49" i="13"/>
  <c r="D336" i="13"/>
  <c r="D48" i="13"/>
  <c r="D216" i="13"/>
  <c r="D120" i="13"/>
  <c r="D288" i="13"/>
  <c r="D192" i="13"/>
  <c r="D323" i="13"/>
  <c r="D107" i="13"/>
  <c r="D35" i="13"/>
  <c r="D179" i="13"/>
  <c r="D203" i="13"/>
  <c r="D275" i="13"/>
  <c r="D341" i="13"/>
  <c r="D293" i="13"/>
  <c r="D221" i="13"/>
  <c r="D53" i="13"/>
  <c r="D197" i="13"/>
  <c r="D125" i="13"/>
  <c r="D332" i="13"/>
  <c r="D188" i="13"/>
  <c r="D116" i="13"/>
  <c r="D212" i="13"/>
  <c r="D284" i="13"/>
  <c r="D44" i="13"/>
  <c r="D46" i="13"/>
  <c r="D286" i="13"/>
  <c r="D190" i="13"/>
  <c r="D118" i="13"/>
  <c r="D214" i="13"/>
  <c r="D334" i="13"/>
  <c r="D335" i="13"/>
  <c r="D47" i="13"/>
  <c r="D215" i="13"/>
  <c r="D287" i="13"/>
  <c r="D191" i="13"/>
  <c r="D119" i="13"/>
  <c r="D319" i="13"/>
  <c r="D199" i="13"/>
  <c r="D3" i="13"/>
  <c r="D271" i="13"/>
  <c r="D175" i="13"/>
  <c r="D103" i="13"/>
  <c r="D31" i="13"/>
  <c r="D117" i="13"/>
  <c r="D189" i="13"/>
  <c r="D285" i="13"/>
  <c r="D333" i="13"/>
  <c r="D213" i="13"/>
  <c r="D45" i="13"/>
  <c r="D206" i="13"/>
  <c r="D278" i="13"/>
  <c r="D182" i="13"/>
  <c r="D110" i="13"/>
  <c r="D326" i="13"/>
  <c r="D38" i="13"/>
  <c r="D329" i="13"/>
  <c r="D281" i="13"/>
  <c r="D41" i="13"/>
  <c r="D209" i="13"/>
  <c r="D113" i="13"/>
  <c r="D185" i="13"/>
  <c r="D339" i="13"/>
  <c r="D219" i="13"/>
  <c r="D291" i="13"/>
  <c r="D195" i="13"/>
  <c r="D123" i="13"/>
  <c r="D51" i="13"/>
  <c r="D37" i="13"/>
  <c r="D325" i="13"/>
  <c r="D205" i="13"/>
  <c r="D109" i="13"/>
  <c r="D277" i="13"/>
  <c r="D181" i="13"/>
  <c r="D126" i="13"/>
  <c r="D294" i="13"/>
  <c r="D198" i="13"/>
  <c r="D222" i="13"/>
  <c r="D342" i="13"/>
  <c r="D54" i="13"/>
  <c r="D316" i="13"/>
  <c r="D364" i="13"/>
  <c r="D148" i="13"/>
  <c r="D244" i="13"/>
  <c r="D76" i="13"/>
  <c r="D330" i="13"/>
  <c r="D114" i="13"/>
  <c r="D282" i="13"/>
  <c r="D42" i="13"/>
  <c r="D186" i="13"/>
  <c r="D210" i="13"/>
  <c r="D324" i="13"/>
  <c r="D204" i="13"/>
  <c r="D180" i="13"/>
  <c r="D108" i="13"/>
  <c r="D276" i="13"/>
  <c r="D36" i="13"/>
  <c r="D307" i="13"/>
  <c r="D355" i="13"/>
  <c r="D235" i="13"/>
  <c r="D139" i="13"/>
  <c r="D67" i="13"/>
  <c r="D296" i="13"/>
  <c r="D344" i="13"/>
  <c r="D224" i="13"/>
  <c r="D128" i="13"/>
  <c r="D56" i="13"/>
  <c r="D321" i="13"/>
  <c r="D105" i="13"/>
  <c r="D273" i="13"/>
  <c r="D33" i="13"/>
  <c r="D177" i="13"/>
  <c r="D201" i="13"/>
  <c r="D303" i="13"/>
  <c r="D351" i="13"/>
  <c r="D231" i="13"/>
  <c r="D135" i="13"/>
  <c r="D63" i="13"/>
  <c r="D328" i="13"/>
  <c r="D112" i="13"/>
  <c r="D40" i="13"/>
  <c r="D184" i="13"/>
  <c r="D208" i="13"/>
  <c r="D280" i="13"/>
  <c r="D322" i="13"/>
  <c r="D178" i="13"/>
  <c r="D106" i="13"/>
  <c r="D202" i="13"/>
  <c r="D274" i="13"/>
  <c r="D34" i="13"/>
  <c r="D314" i="13"/>
  <c r="D362" i="13"/>
  <c r="D242" i="13"/>
  <c r="D146" i="13"/>
  <c r="D74" i="13"/>
  <c r="D10" i="6"/>
  <c r="H5" i="4"/>
  <c r="I5" i="4" s="1"/>
  <c r="G10" i="6"/>
  <c r="C7" i="6"/>
  <c r="C3" i="6"/>
  <c r="G6" i="8"/>
  <c r="M6" i="8"/>
  <c r="D9" i="6"/>
  <c r="G25" i="6"/>
  <c r="E21" i="14" l="1"/>
  <c r="AA18" i="14" s="1"/>
  <c r="H4" i="6"/>
  <c r="C6" i="6"/>
  <c r="B21" i="14" s="1"/>
  <c r="B23" i="14" s="1"/>
  <c r="B57" i="14"/>
  <c r="G23" i="6"/>
  <c r="O21" i="14"/>
  <c r="O22" i="14" s="1"/>
  <c r="Z18" i="14"/>
  <c r="D22" i="14"/>
  <c r="D23" i="14"/>
  <c r="D3" i="6"/>
  <c r="M21" i="14"/>
  <c r="M22" i="14" s="1"/>
  <c r="H10" i="6"/>
  <c r="E55" i="14"/>
  <c r="H25" i="6"/>
  <c r="U49" i="14"/>
  <c r="D386" i="13"/>
  <c r="D266" i="13"/>
  <c r="D170" i="13"/>
  <c r="D98" i="13"/>
  <c r="D368" i="13"/>
  <c r="D248" i="13"/>
  <c r="D152" i="13"/>
  <c r="D80" i="13"/>
  <c r="D305" i="13"/>
  <c r="D353" i="13"/>
  <c r="D137" i="13"/>
  <c r="D65" i="13"/>
  <c r="D233" i="13"/>
  <c r="D298" i="13"/>
  <c r="D346" i="13"/>
  <c r="D226" i="13"/>
  <c r="D130" i="13"/>
  <c r="D58" i="13"/>
  <c r="D375" i="13"/>
  <c r="D255" i="13"/>
  <c r="D159" i="13"/>
  <c r="D87" i="13"/>
  <c r="D379" i="13"/>
  <c r="D259" i="13"/>
  <c r="D163" i="13"/>
  <c r="D91" i="13"/>
  <c r="D309" i="13"/>
  <c r="D237" i="13"/>
  <c r="D69" i="13"/>
  <c r="D357" i="13"/>
  <c r="D141" i="13"/>
  <c r="D310" i="13"/>
  <c r="D358" i="13"/>
  <c r="D238" i="13"/>
  <c r="D142" i="13"/>
  <c r="D70" i="13"/>
  <c r="D299" i="13"/>
  <c r="D347" i="13"/>
  <c r="D59" i="13"/>
  <c r="D227" i="13"/>
  <c r="D131" i="13"/>
  <c r="D312" i="13"/>
  <c r="D360" i="13"/>
  <c r="D240" i="13"/>
  <c r="D144" i="13"/>
  <c r="D72" i="13"/>
  <c r="D304" i="13"/>
  <c r="D352" i="13"/>
  <c r="D232" i="13"/>
  <c r="D136" i="13"/>
  <c r="D64" i="13"/>
  <c r="D300" i="13"/>
  <c r="D348" i="13"/>
  <c r="D228" i="13"/>
  <c r="D132" i="13"/>
  <c r="D60" i="13"/>
  <c r="D306" i="13"/>
  <c r="D354" i="13"/>
  <c r="D234" i="13"/>
  <c r="D138" i="13"/>
  <c r="D66" i="13"/>
  <c r="D388" i="13"/>
  <c r="D268" i="13"/>
  <c r="D172" i="13"/>
  <c r="D100" i="13"/>
  <c r="D301" i="13"/>
  <c r="D349" i="13"/>
  <c r="D229" i="13"/>
  <c r="D133" i="13"/>
  <c r="D61" i="13"/>
  <c r="D311" i="13"/>
  <c r="D359" i="13"/>
  <c r="D143" i="13"/>
  <c r="D239" i="13"/>
  <c r="D71" i="13"/>
  <c r="D308" i="13"/>
  <c r="D356" i="13"/>
  <c r="D140" i="13"/>
  <c r="D68" i="13"/>
  <c r="D236" i="13"/>
  <c r="D317" i="13"/>
  <c r="D149" i="13"/>
  <c r="D245" i="13"/>
  <c r="D77" i="13"/>
  <c r="D365" i="13"/>
  <c r="D313" i="13"/>
  <c r="D361" i="13"/>
  <c r="D241" i="13"/>
  <c r="D145" i="13"/>
  <c r="D73" i="13"/>
  <c r="D297" i="13"/>
  <c r="D345" i="13"/>
  <c r="D129" i="13"/>
  <c r="D225" i="13"/>
  <c r="D57" i="13"/>
  <c r="D11" i="6"/>
  <c r="G5" i="6"/>
  <c r="D318" i="13"/>
  <c r="D150" i="13"/>
  <c r="D246" i="13"/>
  <c r="D78" i="13"/>
  <c r="D366" i="13"/>
  <c r="D315" i="13"/>
  <c r="D363" i="13"/>
  <c r="D243" i="13"/>
  <c r="D147" i="13"/>
  <c r="D75" i="13"/>
  <c r="D302" i="13"/>
  <c r="D62" i="13"/>
  <c r="D134" i="13"/>
  <c r="D350" i="13"/>
  <c r="D230" i="13"/>
  <c r="D295" i="13"/>
  <c r="D343" i="13"/>
  <c r="D127" i="13"/>
  <c r="D223" i="13"/>
  <c r="D55" i="13"/>
  <c r="C5" i="6"/>
  <c r="C8" i="6"/>
  <c r="C4" i="6"/>
  <c r="D7" i="6"/>
  <c r="G8" i="6"/>
  <c r="E23" i="14" l="1"/>
  <c r="E22" i="14"/>
  <c r="H8" i="4"/>
  <c r="G11" i="4"/>
  <c r="X18" i="14"/>
  <c r="H20" i="4"/>
  <c r="I20" i="4" s="1"/>
  <c r="B22" i="14"/>
  <c r="D6" i="6"/>
  <c r="F3" i="10"/>
  <c r="F4" i="10" s="1"/>
  <c r="F5" i="10" s="1"/>
  <c r="N21" i="14"/>
  <c r="N22" i="14" s="1"/>
  <c r="G24" i="6"/>
  <c r="J21" i="14"/>
  <c r="R49" i="14"/>
  <c r="H17" i="6"/>
  <c r="H8" i="6"/>
  <c r="M55" i="14"/>
  <c r="G22" i="6"/>
  <c r="I21" i="14"/>
  <c r="H23" i="6"/>
  <c r="AC49" i="14"/>
  <c r="AC51" i="14" s="1"/>
  <c r="H5" i="6"/>
  <c r="C55" i="14"/>
  <c r="E57" i="14"/>
  <c r="E56" i="14"/>
  <c r="U51" i="14"/>
  <c r="D269" i="13"/>
  <c r="D389" i="13"/>
  <c r="D173" i="13"/>
  <c r="D101" i="13"/>
  <c r="D369" i="13"/>
  <c r="D249" i="13"/>
  <c r="D153" i="13"/>
  <c r="D81" i="13"/>
  <c r="D380" i="13"/>
  <c r="D260" i="13"/>
  <c r="D164" i="13"/>
  <c r="D92" i="13"/>
  <c r="D383" i="13"/>
  <c r="D263" i="13"/>
  <c r="D167" i="13"/>
  <c r="D95" i="13"/>
  <c r="D376" i="13"/>
  <c r="D256" i="13"/>
  <c r="D160" i="13"/>
  <c r="D88" i="13"/>
  <c r="D371" i="13"/>
  <c r="D251" i="13"/>
  <c r="D155" i="13"/>
  <c r="D83" i="13"/>
  <c r="D372" i="13"/>
  <c r="D252" i="13"/>
  <c r="D156" i="13"/>
  <c r="D84" i="13"/>
  <c r="D262" i="13"/>
  <c r="D166" i="13"/>
  <c r="D382" i="13"/>
  <c r="D94" i="13"/>
  <c r="D377" i="13"/>
  <c r="D257" i="13"/>
  <c r="D161" i="13"/>
  <c r="D89" i="13"/>
  <c r="D387" i="13"/>
  <c r="D267" i="13"/>
  <c r="D171" i="13"/>
  <c r="D99" i="13"/>
  <c r="D385" i="13"/>
  <c r="D265" i="13"/>
  <c r="D169" i="13"/>
  <c r="D97" i="13"/>
  <c r="D157" i="13"/>
  <c r="D253" i="13"/>
  <c r="D85" i="13"/>
  <c r="D373" i="13"/>
  <c r="D384" i="13"/>
  <c r="D264" i="13"/>
  <c r="D168" i="13"/>
  <c r="D96" i="13"/>
  <c r="D370" i="13"/>
  <c r="D250" i="13"/>
  <c r="D154" i="13"/>
  <c r="D82" i="13"/>
  <c r="D5" i="6"/>
  <c r="G7" i="6"/>
  <c r="D367" i="13"/>
  <c r="D247" i="13"/>
  <c r="D151" i="13"/>
  <c r="D79" i="13"/>
  <c r="D374" i="13"/>
  <c r="D158" i="13"/>
  <c r="D86" i="13"/>
  <c r="D254" i="13"/>
  <c r="D102" i="13"/>
  <c r="D390" i="13"/>
  <c r="D270" i="13"/>
  <c r="D174" i="13"/>
  <c r="D378" i="13"/>
  <c r="D258" i="13"/>
  <c r="D162" i="13"/>
  <c r="D90" i="13"/>
  <c r="D261" i="13"/>
  <c r="D165" i="13"/>
  <c r="D93" i="13"/>
  <c r="D381" i="13"/>
  <c r="D8" i="6"/>
  <c r="G9" i="6"/>
  <c r="G21" i="6"/>
  <c r="D4" i="6"/>
  <c r="G6" i="6"/>
  <c r="D24" i="6" l="1"/>
  <c r="Y11" i="14"/>
  <c r="Y19" i="14" s="1"/>
  <c r="C32" i="6"/>
  <c r="H7" i="4"/>
  <c r="I8" i="4"/>
  <c r="E3" i="10"/>
  <c r="E4" i="10" s="1"/>
  <c r="E5" i="10" s="1"/>
  <c r="M57" i="14"/>
  <c r="M56" i="14"/>
  <c r="J22" i="14"/>
  <c r="J23" i="14"/>
  <c r="H7" i="6"/>
  <c r="H55" i="14"/>
  <c r="H24" i="6"/>
  <c r="Y49" i="14"/>
  <c r="I22" i="14"/>
  <c r="H9" i="6"/>
  <c r="I55" i="14"/>
  <c r="H22" i="6"/>
  <c r="X49" i="14"/>
  <c r="R51" i="14"/>
  <c r="H21" i="6"/>
  <c r="AB49" i="14"/>
  <c r="H6" i="6"/>
  <c r="L55" i="14"/>
  <c r="C57" i="14"/>
  <c r="C56" i="14"/>
  <c r="G26" i="6"/>
  <c r="G13" i="4" s="1"/>
  <c r="G11" i="6"/>
  <c r="Z19" i="14" l="1"/>
  <c r="AA19" i="14"/>
  <c r="AB19" i="14"/>
  <c r="X19" i="14"/>
  <c r="I7" i="4"/>
  <c r="C33" i="6"/>
  <c r="D32" i="6" s="1"/>
  <c r="V5" i="14"/>
  <c r="Z20" i="14" s="1"/>
  <c r="D3" i="10"/>
  <c r="D4" i="10" s="1"/>
  <c r="D5" i="10" s="1"/>
  <c r="H6" i="4" s="1"/>
  <c r="I6" i="4" s="1"/>
  <c r="X51" i="14"/>
  <c r="Z41" i="14"/>
  <c r="Y50" i="14" s="1"/>
  <c r="H57" i="14"/>
  <c r="J47" i="14"/>
  <c r="H56" i="14"/>
  <c r="I57" i="14"/>
  <c r="I56" i="14"/>
  <c r="Y51" i="14"/>
  <c r="L57" i="14"/>
  <c r="M47" i="14"/>
  <c r="L56" i="14"/>
  <c r="G12" i="4"/>
  <c r="D55" i="14"/>
  <c r="H26" i="6"/>
  <c r="H27" i="6" s="1"/>
  <c r="T49" i="14"/>
  <c r="V41" i="14" s="1"/>
  <c r="R50" i="14" s="1"/>
  <c r="Y20" i="14"/>
  <c r="AC41" i="14"/>
  <c r="AB51" i="14"/>
  <c r="H11" i="6"/>
  <c r="H12" i="6" s="1"/>
  <c r="Y12" i="14" l="1"/>
  <c r="Y13" i="14" s="1"/>
  <c r="X20" i="14"/>
  <c r="AB20" i="14"/>
  <c r="T11" i="14"/>
  <c r="T12" i="14" s="1"/>
  <c r="T13" i="14" s="1"/>
  <c r="C27" i="6"/>
  <c r="D30" i="6"/>
  <c r="D28" i="6"/>
  <c r="D29" i="6"/>
  <c r="D31" i="6"/>
  <c r="AA20" i="14"/>
  <c r="U50" i="14"/>
  <c r="V43" i="14"/>
  <c r="S50" i="14"/>
  <c r="V42" i="14"/>
  <c r="Z42" i="14"/>
  <c r="Z43" i="14"/>
  <c r="J49" i="14"/>
  <c r="J48" i="14"/>
  <c r="X50" i="14"/>
  <c r="M49" i="14"/>
  <c r="M48" i="14"/>
  <c r="AC42" i="14"/>
  <c r="AC43" i="14"/>
  <c r="AC50" i="14"/>
  <c r="AB50" i="14"/>
  <c r="T51" i="14"/>
  <c r="T50" i="14"/>
  <c r="D57" i="14"/>
  <c r="D56" i="14"/>
  <c r="F47" i="14"/>
  <c r="D27" i="6" l="1"/>
  <c r="D33" i="6" s="1"/>
  <c r="G14" i="4"/>
  <c r="F49" i="14"/>
  <c r="F4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
</t>
        </r>
      </text>
    </comment>
    <comment ref="B2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<sst xmlns="http://schemas.openxmlformats.org/spreadsheetml/2006/main" count="911" uniqueCount="487">
  <si>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</si>
  <si>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</si>
  <si>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</si>
  <si>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</si>
  <si>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</si>
  <si>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</si>
  <si>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</si>
  <si>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</si>
  <si>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</si>
  <si>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</si>
  <si>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</si>
  <si>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Magnesium</t>
  </si>
  <si>
    <t>Influent components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</si>
  <si>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</si>
  <si>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</si>
  <si>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</si>
  <si>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</si>
  <si>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</si>
  <si>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</si>
  <si>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</si>
  <si>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</si>
  <si>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</si>
  <si>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Influent fractions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</si>
  <si>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</si>
  <si>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</si>
  <si>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</si>
  <si>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</si>
  <si>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</si>
  <si>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</si>
  <si>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</si>
  <si>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</si>
  <si>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</si>
  <si>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</si>
  <si>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</si>
  <si>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</si>
  <si>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</si>
  <si>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</si>
  <si>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</si>
  <si>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</si>
  <si>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</si>
  <si>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</si>
  <si>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</si>
  <si>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</si>
  <si>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</si>
  <si>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mgP/L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</si>
  <si>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</si>
  <si>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</si>
  <si>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</si>
  <si>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</si>
  <si>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</si>
  <si>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</si>
  <si>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</si>
  <si>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</si>
  <si>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t>Nitrite+nitrate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</si>
  <si>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</si>
  <si>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</si>
  <si>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Total Sulfur</t>
  </si>
  <si>
    <t>mgS/L</t>
  </si>
  <si>
    <t>Data</t>
  </si>
  <si>
    <t>Tabs</t>
  </si>
  <si>
    <t>Use</t>
  </si>
  <si>
    <t>Create diurnal influent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</si>
  <si>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</si>
  <si>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</si>
  <si>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</si>
  <si>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</si>
  <si>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</si>
  <si>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</si>
  <si>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</si>
  <si>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</si>
  <si>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</si>
  <si>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</si>
  <si>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</si>
  <si>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</si>
  <si>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</si>
  <si>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</si>
  <si>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</si>
  <si>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Copy results to Sumo (Sumo1 Concentration based influent, Input Setup tab)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</si>
  <si>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</si>
  <si>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</si>
  <si>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</si>
  <si>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</si>
  <si>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</si>
  <si>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</si>
  <si>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</si>
  <si>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</si>
  <si>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</si>
  <si>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</si>
  <si>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</si>
  <si>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</si>
  <si>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</si>
  <si>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</si>
  <si>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</si>
  <si>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</si>
  <si>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</si>
  <si>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</si>
  <si>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</si>
  <si>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</si>
  <si>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NITO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</si>
  <si>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</si>
  <si>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</si>
  <si>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</si>
  <si>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</si>
  <si>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</si>
  <si>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</si>
  <si>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</si>
  <si>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</si>
  <si>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</si>
  <si>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</si>
  <si>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</si>
  <si>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</si>
  <si>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</si>
  <si>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</si>
  <si>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</si>
  <si>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</si>
  <si>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</si>
  <si>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</si>
  <si>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</si>
  <si>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</si>
  <si>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</si>
  <si>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</si>
  <si>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</si>
  <si>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</si>
  <si>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</si>
  <si>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</si>
  <si>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</si>
  <si>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</si>
  <si>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</si>
  <si>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</si>
  <si>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</si>
  <si>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</si>
  <si>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</si>
  <si>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</si>
  <si>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</si>
  <si>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</si>
  <si>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</si>
  <si>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</si>
  <si>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</si>
  <si>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</si>
  <si>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</si>
  <si>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</si>
  <si>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</si>
  <si>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</si>
  <si>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</si>
  <si>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</si>
  <si>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</si>
  <si>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</si>
  <si>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t>Influent constituents (usually zero or otherwise calculated)</t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</si>
  <si>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</si>
  <si>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</si>
  <si>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</si>
  <si>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</si>
  <si>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</si>
  <si>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</si>
  <si>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</si>
  <si>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</si>
  <si>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</si>
  <si>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</si>
  <si>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</si>
  <si>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</si>
  <si>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</si>
  <si>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</si>
  <si>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</si>
  <si>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</si>
  <si>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</si>
  <si>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</si>
  <si>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</si>
  <si>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</si>
  <si>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</si>
  <si>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</si>
  <si>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</si>
  <si>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</si>
  <si>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</si>
  <si>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d</t>
  </si>
  <si>
    <t>h</t>
  </si>
  <si>
    <t>m3/d</t>
  </si>
  <si>
    <t>pH and alkalinity</t>
  </si>
  <si>
    <t>Potassium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</si>
  <si>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</si>
  <si>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Ca/L</t>
  </si>
  <si>
    <t>mg Mg/L</t>
  </si>
  <si>
    <t>mg Cl/L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</si>
  <si>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</si>
  <si>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</si>
  <si>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</si>
  <si>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Cations (expressed as Sodium)</t>
  </si>
  <si>
    <t>Other measurements  indicators for sanity check</t>
  </si>
  <si>
    <t>COD - BOD indicators for sanity check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</si>
  <si>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</si>
  <si>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mg BOD/L</t>
  </si>
  <si>
    <t>mg CaCO3/L</t>
  </si>
  <si>
    <t>N in biomass</t>
  </si>
  <si>
    <t>Soluble biodegradable organic N</t>
  </si>
  <si>
    <t>Particulate biodegradable organic N</t>
  </si>
  <si>
    <t>Particulate unbiodegradable organic N</t>
  </si>
  <si>
    <t>Key components N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</si>
  <si>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</si>
  <si>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</si>
  <si>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</si>
  <si>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</si>
  <si>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Model parameters</t>
  </si>
  <si>
    <t>P in biomass</t>
  </si>
  <si>
    <t>Soluble biodegradable organic P</t>
  </si>
  <si>
    <t>Particulate biodegradable organic P</t>
  </si>
  <si>
    <t>Particulate unbiodegradable organic P</t>
  </si>
  <si>
    <t>Key components P</t>
  </si>
  <si>
    <t>Colloidal biodegradable organic N</t>
  </si>
  <si>
    <t>Soluble unbiodegradable organic N</t>
  </si>
  <si>
    <t>Colloidal unbiodegradable organic N</t>
  </si>
  <si>
    <t>Colloidal biodegradable organic P</t>
  </si>
  <si>
    <t>Soluble unbiodegradable organic P</t>
  </si>
  <si>
    <t>Colloidal unbiodegradable organic P</t>
  </si>
  <si>
    <t>Total TKN</t>
  </si>
  <si>
    <t>Total P</t>
  </si>
  <si>
    <t>Balance passed</t>
  </si>
  <si>
    <t>Default %</t>
  </si>
  <si>
    <t>To be estimated %</t>
  </si>
  <si>
    <t>VSS/TSS fraction</t>
  </si>
  <si>
    <t>Calculated from data %</t>
  </si>
  <si>
    <t>Check that COD, N, P components add up to totals</t>
  </si>
  <si>
    <t>N content of colloidal substrate</t>
  </si>
  <si>
    <t>N content of colloidal inert organics</t>
  </si>
  <si>
    <t>N content of soluble inerts</t>
  </si>
  <si>
    <t>P content of colloidal substrate</t>
  </si>
  <si>
    <t>P content of colloidal inert organics</t>
  </si>
  <si>
    <t>P content of soluble inerts</t>
  </si>
  <si>
    <t>12 - 15</t>
  </si>
  <si>
    <t>TDM</t>
  </si>
  <si>
    <t>Dissolved material</t>
  </si>
  <si>
    <t>BOD/TSS ratio</t>
  </si>
  <si>
    <t>10 -20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</si>
  <si>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</si>
  <si>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</si>
  <si>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</si>
  <si>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</si>
  <si>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</si>
  <si>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</si>
  <si>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</si>
  <si>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</si>
  <si>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</si>
  <si>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</si>
  <si>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heterotrophs (OHO)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</si>
  <si>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</si>
  <si>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</si>
  <si>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</si>
  <si>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</si>
  <si>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</si>
  <si>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</si>
  <si>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</si>
  <si>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</si>
  <si>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</si>
  <si>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</si>
  <si>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</si>
  <si>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</si>
  <si>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</si>
  <si>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</si>
  <si>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</si>
  <si>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</si>
  <si>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</si>
  <si>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</si>
  <si>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</si>
  <si>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</si>
  <si>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</si>
  <si>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</si>
  <si>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</si>
  <si>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</si>
  <si>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Aerobic nitrifying organisms (NITO)</t>
  </si>
  <si>
    <t>Acidoclastic methanogens (AMETO)</t>
  </si>
  <si>
    <t>Hydrogenotrophic methanogens (HMETO)</t>
  </si>
  <si>
    <t>Nitrite and nitrate (NOx)</t>
  </si>
  <si>
    <t>Dissolved nitrogen (N2)</t>
  </si>
  <si>
    <t>Stored polyphosphate (PP)</t>
  </si>
  <si>
    <t>Dissolved methane (CH4)</t>
  </si>
  <si>
    <t>Dissolved hydrogen (H2)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</si>
  <si>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</si>
  <si>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</si>
  <si>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</si>
  <si>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</si>
  <si>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</si>
  <si>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</si>
  <si>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</si>
  <si>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</si>
  <si>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</si>
  <si>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Stored glycogen (GLY)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</si>
  <si>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</si>
  <si>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</si>
  <si>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</si>
  <si>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</si>
  <si>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</si>
  <si>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</si>
  <si>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</si>
  <si>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</si>
  <si>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</si>
  <si>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</si>
  <si>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</si>
  <si>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Ordinary heterotrophs (OHO)</t>
  </si>
  <si>
    <t>only if "Calculated pH" option is on</t>
  </si>
  <si>
    <t>BOD stoichiometry</t>
  </si>
  <si>
    <t>N content of endogenous products</t>
  </si>
  <si>
    <t>N in endogenous decay product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</si>
  <si>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</si>
  <si>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</si>
  <si>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</si>
  <si>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TCOD</t>
  </si>
  <si>
    <t>day</t>
  </si>
  <si>
    <t>fQ</t>
  </si>
  <si>
    <t>fConc</t>
  </si>
  <si>
    <t>max month</t>
  </si>
  <si>
    <t>Qavg, dry</t>
  </si>
  <si>
    <t>Dry</t>
  </si>
  <si>
    <t>dry</t>
  </si>
  <si>
    <t>max day</t>
  </si>
  <si>
    <t>end</t>
  </si>
  <si>
    <t>hr</t>
  </si>
  <si>
    <t>Crushed (16d) Birthday Cake</t>
  </si>
  <si>
    <t>Red is input</t>
  </si>
  <si>
    <t>Scaling table</t>
  </si>
  <si>
    <t>cCOD</t>
  </si>
  <si>
    <t>ffCOD</t>
  </si>
  <si>
    <t>XB</t>
  </si>
  <si>
    <t>XU</t>
  </si>
  <si>
    <t>XOHO</t>
  </si>
  <si>
    <t>Others</t>
  </si>
  <si>
    <t>CB</t>
  </si>
  <si>
    <t>CU</t>
  </si>
  <si>
    <t>SB</t>
  </si>
  <si>
    <t>SU</t>
  </si>
  <si>
    <t>SVFA</t>
  </si>
  <si>
    <t>XE</t>
  </si>
  <si>
    <t>Total chemical oxidation demand</t>
  </si>
  <si>
    <t>Particulate chemical oxidation demand</t>
  </si>
  <si>
    <t>Filtered chemical oxidation demand</t>
  </si>
  <si>
    <t>Percentage distribution based on subgroups</t>
  </si>
  <si>
    <t>Percentage based on total</t>
  </si>
  <si>
    <t>Total Nitrogen</t>
  </si>
  <si>
    <t>Nitrate plus nitrite</t>
  </si>
  <si>
    <t>XN,B</t>
  </si>
  <si>
    <t>XN,U</t>
  </si>
  <si>
    <t>SN,B</t>
  </si>
  <si>
    <t>N of biomass</t>
  </si>
  <si>
    <t>N of XE</t>
  </si>
  <si>
    <t>N content of CB</t>
  </si>
  <si>
    <t>N content of CU</t>
  </si>
  <si>
    <t>mgN/L</t>
  </si>
  <si>
    <t>Particulate organic N</t>
  </si>
  <si>
    <t>N content of SU</t>
  </si>
  <si>
    <t>Total organic P</t>
  </si>
  <si>
    <t>Ortho phosphate</t>
  </si>
  <si>
    <t>Particulate organic P</t>
  </si>
  <si>
    <t>Colloidal organic P</t>
  </si>
  <si>
    <t>Soluble organic P</t>
  </si>
  <si>
    <t>P of biomass</t>
  </si>
  <si>
    <t>XP,B</t>
  </si>
  <si>
    <t>XP,U</t>
  </si>
  <si>
    <t>P content of CB</t>
  </si>
  <si>
    <t>P content of CU</t>
  </si>
  <si>
    <t>SP,B</t>
  </si>
  <si>
    <t>P content of SU</t>
  </si>
  <si>
    <t>Total suspended solids</t>
  </si>
  <si>
    <t>mg SS/L</t>
  </si>
  <si>
    <t>Volatile suspended solids</t>
  </si>
  <si>
    <t>Inorganic suspended solids</t>
  </si>
  <si>
    <t>Stored P</t>
  </si>
  <si>
    <t>Fraction of heterotrophs (OHO) in total COD</t>
  </si>
  <si>
    <t>Carbon storing organisms (CASTO)</t>
  </si>
  <si>
    <t>Sumo1 components considered for COD and BOD calculations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</si>
  <si>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</si>
  <si>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Total Kjeldahl Nitrogen</t>
  </si>
  <si>
    <t>Total Organic Nitrogen</t>
  </si>
  <si>
    <t>Total ammonia</t>
  </si>
  <si>
    <t>Colloidal organic N</t>
  </si>
  <si>
    <t>Soluble organic N</t>
  </si>
  <si>
    <t>Total Phosphorus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</si>
  <si>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</si>
  <si>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</si>
  <si>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</si>
  <si>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</si>
  <si>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</si>
  <si>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</si>
  <si>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</si>
  <si>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</si>
  <si>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Other strong anions (as chloride)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</si>
  <si>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</si>
  <si>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</si>
  <si>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</si>
  <si>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</si>
  <si>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</si>
  <si>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</si>
  <si>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</si>
  <si>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t>Active site factor for HAO,L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</si>
  <si>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</si>
  <si>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</si>
  <si>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</si>
  <si>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</si>
  <si>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</si>
  <si>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Total HFOs in TSS unit</t>
  </si>
  <si>
    <t>Total HAOs in TSS unit</t>
  </si>
  <si>
    <t>Total TSS</t>
  </si>
  <si>
    <t>Total volatile solid</t>
  </si>
  <si>
    <t>Total precipitates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</si>
  <si>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</si>
  <si>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Sumo22</t>
  </si>
  <si>
    <t>Total phosphorus in HAOs</t>
  </si>
  <si>
    <t>Stored polyphosphates in TSS unit</t>
  </si>
  <si>
    <t>www.dynamita.com</t>
  </si>
  <si>
    <t>Symbol</t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</si>
  <si>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</si>
  <si>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</si>
  <si>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</si>
  <si>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</si>
  <si>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</si>
  <si>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</si>
  <si>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</si>
  <si>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</si>
  <si>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</si>
  <si>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</si>
  <si>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</si>
  <si>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</si>
  <si>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</si>
  <si>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</si>
  <si>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</si>
  <si>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</si>
  <si>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</si>
  <si>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</si>
  <si>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</si>
  <si>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</si>
  <si>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</si>
  <si>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</si>
  <si>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</si>
  <si>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</si>
  <si>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</si>
  <si>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</si>
  <si>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</si>
  <si>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</si>
  <si>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</si>
  <si>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</si>
  <si>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</si>
  <si>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NITO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</si>
  <si>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</si>
  <si>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</si>
  <si>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NOx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</si>
  <si>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</si>
  <si>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</si>
  <si>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</si>
  <si>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</si>
  <si>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</si>
  <si>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</si>
  <si>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</si>
  <si>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</si>
  <si>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</si>
  <si>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</si>
  <si>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</si>
  <si>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</si>
  <si>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</si>
  <si>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</si>
  <si>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</si>
  <si>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</si>
  <si>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</si>
  <si>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</si>
  <si>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</si>
  <si>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</si>
  <si>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</si>
  <si>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</si>
  <si>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</si>
  <si>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</si>
  <si>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</si>
  <si>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</si>
  <si>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</si>
  <si>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</si>
  <si>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</si>
  <si>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</si>
  <si>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t>This tool helps to convert measured primary effluent data into Sumo1 model input fractions</t>
  </si>
  <si>
    <t>Primary effluent COD</t>
  </si>
  <si>
    <t>Primary effluent filtered COD</t>
  </si>
  <si>
    <t>Primary effluent filtered flocculated COD</t>
  </si>
  <si>
    <t>Primary effluent cBOD5</t>
  </si>
  <si>
    <t>70-80</t>
  </si>
  <si>
    <t>60-70</t>
  </si>
  <si>
    <t>Primary effluent input setup</t>
  </si>
  <si>
    <t>Primary effluent fractions from data</t>
  </si>
  <si>
    <t>Primary effluent fractions to estimate</t>
  </si>
  <si>
    <t>Calculated primary effluent filtered COD</t>
  </si>
  <si>
    <t>Calculated primary effluent BOD5</t>
  </si>
  <si>
    <t>Other primary effluent measurements</t>
  </si>
  <si>
    <t>Calculated primary effluent filtered flocculated COD</t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</si>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</sst>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4"/>
      <color indexed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4" fillId="0" borderId="0"/>
    <xf numFmtId="0" fontId="13" fillId="0" borderId="0"/>
    <xf numFmtId="9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 applyNumberFormat="0" applyFill="0" applyBorder="0" applyAlignment="0" applyProtection="0"/>
  </cellStyleXfs>
  <cellXfs count="515">
    <xf numFmtId="0" fontId="0" fillId="0" borderId="0" xfId="0"/>
    <xf numFmtId="0" fontId="0" fillId="0" borderId="0" xfId="0" applyAlignment="1">
      <alignment horizontal="center" vertical="center"/>
    </xf>
    <xf numFmtId="165" fontId="25" fillId="0" borderId="0" xfId="2" applyNumberFormat="1" applyFont="1"/>
    <xf numFmtId="165" fontId="13" fillId="0" borderId="0" xfId="2" applyNumberFormat="1"/>
    <xf numFmtId="165" fontId="13" fillId="0" borderId="0" xfId="2" applyNumberFormat="1" applyAlignment="1">
      <alignment horizontal="center" vertical="center"/>
    </xf>
    <xf numFmtId="0" fontId="13" fillId="0" borderId="0" xfId="2" applyAlignment="1">
      <alignment horizontal="center" vertical="center"/>
    </xf>
    <xf numFmtId="0" fontId="13" fillId="0" borderId="0" xfId="2"/>
    <xf numFmtId="0" fontId="15" fillId="0" borderId="0" xfId="2" applyFont="1"/>
    <xf numFmtId="165" fontId="15" fillId="0" borderId="0" xfId="2" applyNumberFormat="1" applyFont="1"/>
    <xf numFmtId="165" fontId="13" fillId="0" borderId="0" xfId="2" applyNumberFormat="1" applyAlignment="1">
      <alignment horizontal="right"/>
    </xf>
    <xf numFmtId="0" fontId="24" fillId="0" borderId="0" xfId="2" applyFont="1"/>
    <xf numFmtId="165" fontId="13" fillId="0" borderId="0" xfId="2" applyNumberFormat="1" applyAlignment="1">
      <alignment horizontal="left" vertical="center"/>
    </xf>
    <xf numFmtId="0" fontId="13" fillId="0" borderId="0" xfId="2" applyAlignment="1">
      <alignment horizontal="left" vertical="center"/>
    </xf>
    <xf numFmtId="165" fontId="13" fillId="0" borderId="12" xfId="2" applyNumberFormat="1" applyBorder="1"/>
    <xf numFmtId="166" fontId="13" fillId="0" borderId="13" xfId="2" applyNumberFormat="1" applyBorder="1" applyAlignment="1">
      <alignment horizontal="center" vertical="center"/>
    </xf>
    <xf numFmtId="165" fontId="13" fillId="0" borderId="13" xfId="2" applyNumberFormat="1" applyBorder="1" applyAlignment="1">
      <alignment horizontal="left" vertical="center"/>
    </xf>
    <xf numFmtId="165" fontId="13" fillId="0" borderId="13" xfId="2" applyNumberFormat="1" applyBorder="1" applyAlignment="1">
      <alignment horizontal="center" vertical="center"/>
    </xf>
    <xf numFmtId="164" fontId="13" fillId="0" borderId="13" xfId="2" applyNumberFormat="1" applyBorder="1" applyAlignment="1">
      <alignment horizontal="center" vertical="center"/>
    </xf>
    <xf numFmtId="0" fontId="13" fillId="0" borderId="13" xfId="2" applyBorder="1" applyAlignment="1">
      <alignment horizontal="center" vertical="center"/>
    </xf>
    <xf numFmtId="164" fontId="13" fillId="0" borderId="14" xfId="2" applyNumberFormat="1" applyBorder="1" applyAlignment="1">
      <alignment horizontal="center" vertical="center"/>
    </xf>
    <xf numFmtId="165" fontId="13" fillId="0" borderId="0" xfId="2" applyNumberFormat="1" applyAlignment="1">
      <alignment horizontal="center"/>
    </xf>
    <xf numFmtId="165" fontId="13" fillId="2" borderId="0" xfId="2" applyNumberFormat="1" applyFill="1" applyAlignment="1">
      <alignment horizontal="center" vertical="center"/>
    </xf>
    <xf numFmtId="0" fontId="13" fillId="2" borderId="0" xfId="2" applyFill="1" applyAlignment="1">
      <alignment horizontal="center" vertical="center"/>
    </xf>
    <xf numFmtId="167" fontId="13" fillId="2" borderId="0" xfId="2" applyNumberFormat="1" applyFill="1" applyAlignment="1">
      <alignment horizontal="center" vertical="center"/>
    </xf>
    <xf numFmtId="0" fontId="15" fillId="3" borderId="7" xfId="1" applyFont="1" applyFill="1" applyBorder="1" applyAlignment="1">
      <alignment horizontal="center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locked="0"/>
    </xf>
    <xf numFmtId="164" fontId="39" fillId="0" borderId="7" xfId="1" applyNumberFormat="1" applyFont="1" applyFill="1" applyBorder="1" applyAlignment="1" applyProtection="1">
      <alignment horizontal="center" vertical="center"/>
      <protection locked="0"/>
    </xf>
    <xf numFmtId="164" fontId="27" fillId="0" borderId="10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/>
    <xf numFmtId="165" fontId="13" fillId="0" borderId="0" xfId="2" applyNumberFormat="1" applyAlignment="1">
      <alignment horizontal="left"/>
    </xf>
    <xf numFmtId="164" fontId="33" fillId="0" borderId="0" xfId="2" applyNumberFormat="1" applyFont="1" applyAlignment="1" applyProtection="1">
      <alignment horizontal="center" vertical="center"/>
      <protection locked="0"/>
    </xf>
    <xf numFmtId="0" fontId="19" fillId="3" borderId="6" xfId="1" applyFont="1" applyFill="1" applyBorder="1" applyAlignment="1">
      <alignment horizontal="left" vertical="center" wrapText="1"/>
    </xf>
    <xf numFmtId="0" fontId="19" fillId="3" borderId="23" xfId="1" applyFont="1" applyFill="1" applyBorder="1" applyAlignment="1">
      <alignment horizontal="left" vertical="center" wrapText="1"/>
    </xf>
    <xf numFmtId="164" fontId="28" fillId="3" borderId="7" xfId="0" applyNumberFormat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 wrapText="1"/>
    </xf>
    <xf numFmtId="0" fontId="12" fillId="3" borderId="6" xfId="1" applyFont="1" applyFill="1" applyBorder="1" applyAlignment="1">
      <alignment horizontal="left" vertical="center" wrapText="1"/>
    </xf>
    <xf numFmtId="164" fontId="28" fillId="3" borderId="3" xfId="0" applyNumberFormat="1" applyFont="1" applyFill="1" applyBorder="1" applyAlignment="1">
      <alignment horizontal="center" vertical="center"/>
    </xf>
    <xf numFmtId="168" fontId="28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17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17" fillId="3" borderId="10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164" fontId="33" fillId="0" borderId="7" xfId="1" applyNumberFormat="1" applyFont="1" applyFill="1" applyBorder="1" applyAlignment="1" applyProtection="1">
      <alignment horizontal="center" vertical="center"/>
      <protection locked="0"/>
    </xf>
    <xf numFmtId="164" fontId="33" fillId="0" borderId="1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Protection="1"/>
    <xf numFmtId="0" fontId="19" fillId="3" borderId="6" xfId="1" applyFont="1" applyFill="1" applyBorder="1" applyAlignment="1" applyProtection="1">
      <alignment horizontal="left" vertical="center"/>
    </xf>
    <xf numFmtId="164" fontId="19" fillId="3" borderId="7" xfId="1" applyNumberFormat="1" applyFont="1" applyFill="1" applyBorder="1" applyAlignment="1" applyProtection="1">
      <alignment horizontal="center" vertical="center"/>
    </xf>
    <xf numFmtId="0" fontId="19" fillId="3" borderId="8" xfId="1" applyFont="1" applyFill="1" applyBorder="1" applyAlignment="1" applyProtection="1">
      <alignment horizontal="center" vertical="center"/>
    </xf>
    <xf numFmtId="0" fontId="19" fillId="3" borderId="7" xfId="1" applyFont="1" applyFill="1" applyBorder="1" applyAlignment="1" applyProtection="1">
      <alignment horizontal="center" vertical="center"/>
    </xf>
    <xf numFmtId="0" fontId="14" fillId="0" borderId="0" xfId="1" applyProtection="1"/>
    <xf numFmtId="0" fontId="19" fillId="3" borderId="9" xfId="1" applyFont="1" applyFill="1" applyBorder="1" applyAlignment="1" applyProtection="1">
      <alignment horizontal="left" vertical="center"/>
    </xf>
    <xf numFmtId="0" fontId="19" fillId="3" borderId="10" xfId="1" quotePrefix="1" applyFont="1" applyFill="1" applyBorder="1" applyAlignment="1" applyProtection="1">
      <alignment horizontal="center" vertical="center"/>
    </xf>
    <xf numFmtId="0" fontId="19" fillId="3" borderId="11" xfId="1" applyFont="1" applyFill="1" applyBorder="1" applyAlignment="1" applyProtection="1">
      <alignment horizontal="center" vertical="center"/>
    </xf>
    <xf numFmtId="0" fontId="19" fillId="3" borderId="7" xfId="1" quotePrefix="1" applyFont="1" applyFill="1" applyBorder="1" applyAlignment="1" applyProtection="1">
      <alignment horizontal="center" vertical="center"/>
    </xf>
    <xf numFmtId="0" fontId="19" fillId="3" borderId="8" xfId="1" quotePrefix="1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center" vertical="center"/>
    </xf>
    <xf numFmtId="0" fontId="19" fillId="3" borderId="6" xfId="1" applyFont="1" applyFill="1" applyBorder="1" applyAlignment="1" applyProtection="1">
      <alignment horizontal="left" vertical="center" wrapText="1"/>
    </xf>
    <xf numFmtId="0" fontId="20" fillId="3" borderId="6" xfId="1" applyFont="1" applyFill="1" applyBorder="1" applyAlignment="1" applyProtection="1">
      <alignment horizontal="left" vertical="center"/>
    </xf>
    <xf numFmtId="0" fontId="19" fillId="3" borderId="10" xfId="1" applyFont="1" applyFill="1" applyBorder="1" applyAlignment="1" applyProtection="1">
      <alignment horizontal="center" vertical="center"/>
    </xf>
    <xf numFmtId="0" fontId="14" fillId="3" borderId="7" xfId="1" applyFont="1" applyFill="1" applyBorder="1" applyAlignment="1" applyProtection="1">
      <alignment horizontal="center" vertical="center"/>
    </xf>
    <xf numFmtId="2" fontId="27" fillId="0" borderId="8" xfId="1" applyNumberFormat="1" applyFont="1" applyFill="1" applyBorder="1" applyAlignment="1" applyProtection="1">
      <alignment horizontal="center" vertical="center"/>
      <protection locked="0"/>
    </xf>
    <xf numFmtId="2" fontId="36" fillId="0" borderId="8" xfId="1" applyNumberFormat="1" applyFont="1" applyFill="1" applyBorder="1" applyAlignment="1" applyProtection="1">
      <alignment horizontal="center" vertical="center"/>
      <protection locked="0"/>
    </xf>
    <xf numFmtId="2" fontId="27" fillId="0" borderId="11" xfId="1" applyNumberFormat="1" applyFont="1" applyFill="1" applyBorder="1" applyAlignment="1" applyProtection="1">
      <alignment horizontal="center" vertical="center"/>
      <protection locked="0"/>
    </xf>
    <xf numFmtId="0" fontId="27" fillId="0" borderId="8" xfId="1" applyFont="1" applyFill="1" applyBorder="1" applyAlignment="1" applyProtection="1">
      <alignment horizontal="center" vertical="center"/>
      <protection locked="0"/>
    </xf>
    <xf numFmtId="0" fontId="27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2" fillId="0" borderId="0" xfId="1" applyFont="1" applyAlignment="1" applyProtection="1">
      <alignment horizontal="center" vertical="center"/>
    </xf>
    <xf numFmtId="2" fontId="19" fillId="3" borderId="7" xfId="1" applyNumberFormat="1" applyFont="1" applyFill="1" applyBorder="1" applyAlignment="1" applyProtection="1">
      <alignment horizontal="center" vertical="center"/>
    </xf>
    <xf numFmtId="0" fontId="19" fillId="3" borderId="15" xfId="1" applyFont="1" applyFill="1" applyBorder="1" applyAlignment="1" applyProtection="1">
      <alignment horizontal="left" vertical="center"/>
    </xf>
    <xf numFmtId="164" fontId="19" fillId="3" borderId="16" xfId="1" applyNumberFormat="1" applyFont="1" applyFill="1" applyBorder="1" applyAlignment="1" applyProtection="1">
      <alignment horizontal="center" vertical="center"/>
    </xf>
    <xf numFmtId="164" fontId="18" fillId="3" borderId="16" xfId="1" applyNumberFormat="1" applyFont="1" applyFill="1" applyBorder="1" applyAlignment="1" applyProtection="1">
      <alignment horizontal="center" vertical="center"/>
    </xf>
    <xf numFmtId="164" fontId="18" fillId="3" borderId="7" xfId="1" applyNumberFormat="1" applyFont="1" applyFill="1" applyBorder="1" applyAlignment="1" applyProtection="1">
      <alignment horizontal="center" vertical="center"/>
    </xf>
    <xf numFmtId="164" fontId="19" fillId="3" borderId="10" xfId="1" applyNumberFormat="1" applyFont="1" applyFill="1" applyBorder="1" applyAlignment="1" applyProtection="1">
      <alignment horizontal="center" vertical="center"/>
    </xf>
    <xf numFmtId="164" fontId="18" fillId="3" borderId="10" xfId="1" applyNumberFormat="1" applyFont="1" applyFill="1" applyBorder="1" applyAlignment="1" applyProtection="1">
      <alignment horizontal="center" vertical="center"/>
    </xf>
    <xf numFmtId="2" fontId="19" fillId="3" borderId="10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0" fontId="19" fillId="3" borderId="6" xfId="1" applyFont="1" applyFill="1" applyBorder="1" applyAlignment="1" applyProtection="1">
      <alignment vertical="center"/>
    </xf>
    <xf numFmtId="0" fontId="14" fillId="3" borderId="6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left" vertical="center"/>
    </xf>
    <xf numFmtId="2" fontId="18" fillId="3" borderId="7" xfId="1" applyNumberFormat="1" applyFont="1" applyFill="1" applyBorder="1" applyAlignment="1" applyProtection="1">
      <alignment horizontal="center" vertical="center"/>
    </xf>
    <xf numFmtId="2" fontId="14" fillId="3" borderId="8" xfId="1" applyNumberFormat="1" applyFont="1" applyFill="1" applyBorder="1" applyAlignment="1" applyProtection="1">
      <alignment horizontal="center" vertical="center"/>
    </xf>
    <xf numFmtId="0" fontId="10" fillId="3" borderId="6" xfId="1" applyFont="1" applyFill="1" applyBorder="1" applyAlignment="1" applyProtection="1">
      <alignment horizontal="left" vertical="center"/>
    </xf>
    <xf numFmtId="2" fontId="37" fillId="3" borderId="7" xfId="1" applyNumberFormat="1" applyFont="1" applyFill="1" applyBorder="1" applyAlignment="1" applyProtection="1">
      <alignment horizontal="center" vertical="center"/>
    </xf>
    <xf numFmtId="0" fontId="9" fillId="3" borderId="7" xfId="1" applyFont="1" applyFill="1" applyBorder="1" applyAlignment="1" applyProtection="1">
      <alignment horizontal="center" vertical="center"/>
    </xf>
    <xf numFmtId="0" fontId="38" fillId="3" borderId="6" xfId="1" applyFont="1" applyFill="1" applyBorder="1" applyAlignment="1" applyProtection="1">
      <alignment vertical="center"/>
    </xf>
    <xf numFmtId="0" fontId="38" fillId="3" borderId="8" xfId="1" applyFont="1" applyFill="1" applyBorder="1" applyAlignment="1" applyProtection="1">
      <alignment horizontal="center" vertical="center"/>
    </xf>
    <xf numFmtId="0" fontId="38" fillId="0" borderId="0" xfId="1" applyFont="1" applyFill="1" applyProtection="1"/>
    <xf numFmtId="0" fontId="38" fillId="3" borderId="6" xfId="1" applyFont="1" applyFill="1" applyBorder="1" applyAlignment="1" applyProtection="1">
      <alignment horizontal="left" vertical="center"/>
    </xf>
    <xf numFmtId="164" fontId="39" fillId="3" borderId="7" xfId="1" applyNumberFormat="1" applyFont="1" applyFill="1" applyBorder="1" applyAlignment="1" applyProtection="1">
      <alignment horizontal="center" vertical="center"/>
    </xf>
    <xf numFmtId="0" fontId="38" fillId="3" borderId="7" xfId="1" applyFont="1" applyFill="1" applyBorder="1" applyAlignment="1" applyProtection="1">
      <alignment horizontal="center" vertical="center"/>
    </xf>
    <xf numFmtId="2" fontId="38" fillId="3" borderId="8" xfId="1" applyNumberFormat="1" applyFont="1" applyFill="1" applyBorder="1" applyAlignment="1" applyProtection="1">
      <alignment horizontal="center" vertical="center"/>
    </xf>
    <xf numFmtId="0" fontId="14" fillId="3" borderId="6" xfId="1" applyFont="1" applyFill="1" applyBorder="1" applyAlignment="1" applyProtection="1">
      <alignment horizontal="left" vertical="center"/>
    </xf>
    <xf numFmtId="2" fontId="39" fillId="3" borderId="7" xfId="1" applyNumberFormat="1" applyFont="1" applyFill="1" applyBorder="1" applyAlignment="1" applyProtection="1">
      <alignment horizontal="center" vertical="center"/>
    </xf>
    <xf numFmtId="0" fontId="13" fillId="3" borderId="7" xfId="1" applyFont="1" applyFill="1" applyBorder="1" applyAlignment="1" applyProtection="1">
      <alignment horizontal="center" vertical="center"/>
    </xf>
    <xf numFmtId="2" fontId="11" fillId="3" borderId="8" xfId="1" quotePrefix="1" applyNumberFormat="1" applyFont="1" applyFill="1" applyBorder="1" applyAlignment="1" applyProtection="1">
      <alignment horizontal="center" vertical="center"/>
    </xf>
    <xf numFmtId="0" fontId="19" fillId="3" borderId="9" xfId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vertical="center"/>
    </xf>
    <xf numFmtId="2" fontId="14" fillId="3" borderId="17" xfId="1" applyNumberFormat="1" applyFont="1" applyFill="1" applyBorder="1" applyAlignment="1" applyProtection="1">
      <alignment horizontal="center" vertical="center"/>
    </xf>
    <xf numFmtId="2" fontId="14" fillId="3" borderId="7" xfId="1" applyNumberFormat="1" applyFont="1" applyFill="1" applyBorder="1" applyAlignment="1" applyProtection="1">
      <alignment horizontal="center" vertical="center"/>
    </xf>
    <xf numFmtId="164" fontId="14" fillId="3" borderId="8" xfId="1" applyNumberFormat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>
      <alignment horizontal="center" vertical="center"/>
    </xf>
    <xf numFmtId="0" fontId="13" fillId="3" borderId="11" xfId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>
      <alignment vertical="center"/>
    </xf>
    <xf numFmtId="164" fontId="41" fillId="0" borderId="7" xfId="1" applyNumberFormat="1" applyFont="1" applyFill="1" applyBorder="1" applyAlignment="1" applyProtection="1">
      <alignment horizontal="center" vertical="center"/>
      <protection locked="0"/>
    </xf>
    <xf numFmtId="164" fontId="41" fillId="0" borderId="10" xfId="1" applyNumberFormat="1" applyFont="1" applyFill="1" applyBorder="1" applyAlignment="1" applyProtection="1">
      <alignment horizontal="center" vertical="center"/>
      <protection locked="0"/>
    </xf>
    <xf numFmtId="0" fontId="19" fillId="3" borderId="15" xfId="1" applyFont="1" applyFill="1" applyBorder="1" applyAlignment="1" applyProtection="1">
      <alignment vertical="center"/>
    </xf>
    <xf numFmtId="164" fontId="27" fillId="0" borderId="16" xfId="1" applyNumberFormat="1" applyFont="1" applyFill="1" applyBorder="1" applyAlignment="1" applyProtection="1">
      <alignment horizontal="center" vertical="center"/>
      <protection locked="0"/>
    </xf>
    <xf numFmtId="0" fontId="19" fillId="3" borderId="17" xfId="1" applyFont="1" applyFill="1" applyBorder="1" applyAlignment="1" applyProtection="1">
      <alignment horizontal="center" vertical="center"/>
    </xf>
    <xf numFmtId="0" fontId="11" fillId="3" borderId="6" xfId="1" applyFont="1" applyFill="1" applyBorder="1" applyProtection="1"/>
    <xf numFmtId="0" fontId="19" fillId="3" borderId="9" xfId="1" applyFont="1" applyFill="1" applyBorder="1" applyAlignment="1" applyProtection="1">
      <alignment horizontal="left" vertical="center" wrapText="1"/>
    </xf>
    <xf numFmtId="0" fontId="10" fillId="3" borderId="15" xfId="1" applyFont="1" applyFill="1" applyBorder="1" applyAlignment="1" applyProtection="1">
      <alignment horizontal="left" vertical="center"/>
    </xf>
    <xf numFmtId="0" fontId="19" fillId="3" borderId="16" xfId="1" applyFont="1" applyFill="1" applyBorder="1" applyAlignment="1" applyProtection="1">
      <alignment horizontal="center" vertical="center"/>
    </xf>
    <xf numFmtId="16" fontId="8" fillId="3" borderId="8" xfId="1" quotePrefix="1" applyNumberFormat="1" applyFont="1" applyFill="1" applyBorder="1" applyAlignment="1" applyProtection="1">
      <alignment horizontal="center" vertical="center"/>
    </xf>
    <xf numFmtId="164" fontId="33" fillId="0" borderId="16" xfId="1" applyNumberFormat="1" applyFont="1" applyFill="1" applyBorder="1" applyAlignment="1" applyProtection="1">
      <alignment horizontal="center" vertical="center"/>
      <protection locked="0"/>
    </xf>
    <xf numFmtId="2" fontId="19" fillId="3" borderId="16" xfId="1" applyNumberFormat="1" applyFont="1" applyFill="1" applyBorder="1" applyAlignment="1" applyProtection="1">
      <alignment horizontal="center" vertical="center"/>
    </xf>
    <xf numFmtId="0" fontId="36" fillId="0" borderId="17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left" vertical="center"/>
    </xf>
    <xf numFmtId="165" fontId="7" fillId="0" borderId="0" xfId="2" applyNumberFormat="1" applyFont="1" applyAlignment="1">
      <alignment horizontal="center"/>
    </xf>
    <xf numFmtId="165" fontId="7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164" fontId="13" fillId="2" borderId="0" xfId="2" applyNumberFormat="1" applyFill="1" applyAlignment="1">
      <alignment horizontal="center"/>
    </xf>
    <xf numFmtId="0" fontId="19" fillId="3" borderId="27" xfId="1" applyFont="1" applyFill="1" applyBorder="1" applyAlignment="1" applyProtection="1">
      <alignment horizontal="left" vertical="center"/>
    </xf>
    <xf numFmtId="0" fontId="19" fillId="3" borderId="23" xfId="1" applyFont="1" applyFill="1" applyBorder="1" applyAlignment="1" applyProtection="1">
      <alignment horizontal="left" vertical="center"/>
    </xf>
    <xf numFmtId="164" fontId="33" fillId="0" borderId="5" xfId="1" applyNumberFormat="1" applyFont="1" applyFill="1" applyBorder="1" applyAlignment="1" applyProtection="1">
      <alignment horizontal="center" vertical="center"/>
      <protection locked="0"/>
    </xf>
    <xf numFmtId="0" fontId="19" fillId="3" borderId="5" xfId="1" applyFont="1" applyFill="1" applyBorder="1" applyAlignment="1" applyProtection="1">
      <alignment horizontal="center" vertical="center"/>
    </xf>
    <xf numFmtId="0" fontId="19" fillId="3" borderId="21" xfId="1" applyFont="1" applyFill="1" applyBorder="1" applyAlignment="1" applyProtection="1">
      <alignment horizontal="center" vertical="center"/>
    </xf>
    <xf numFmtId="0" fontId="14" fillId="0" borderId="0" xfId="1" applyFont="1" applyFill="1" applyBorder="1" applyProtection="1"/>
    <xf numFmtId="164" fontId="33" fillId="0" borderId="0" xfId="1" applyNumberFormat="1" applyFont="1" applyFill="1" applyBorder="1" applyAlignment="1" applyProtection="1">
      <alignment horizontal="center" vertical="center"/>
      <protection locked="0"/>
    </xf>
    <xf numFmtId="164" fontId="19" fillId="3" borderId="5" xfId="1" applyNumberFormat="1" applyFont="1" applyFill="1" applyBorder="1" applyAlignment="1" applyProtection="1">
      <alignment horizontal="center" vertical="center"/>
    </xf>
    <xf numFmtId="0" fontId="19" fillId="3" borderId="16" xfId="1" quotePrefix="1" applyFont="1" applyFill="1" applyBorder="1" applyAlignment="1" applyProtection="1">
      <alignment horizontal="center" vertical="center"/>
    </xf>
    <xf numFmtId="0" fontId="19" fillId="3" borderId="17" xfId="1" quotePrefix="1" applyFont="1" applyFill="1" applyBorder="1" applyAlignment="1" applyProtection="1">
      <alignment horizontal="center" vertical="center"/>
    </xf>
    <xf numFmtId="0" fontId="19" fillId="3" borderId="11" xfId="1" quotePrefix="1" applyFont="1" applyFill="1" applyBorder="1" applyAlignment="1" applyProtection="1">
      <alignment horizontal="center" vertical="center"/>
    </xf>
    <xf numFmtId="164" fontId="41" fillId="0" borderId="5" xfId="1" applyNumberFormat="1" applyFont="1" applyFill="1" applyBorder="1" applyAlignment="1" applyProtection="1">
      <alignment horizontal="center" vertical="center"/>
      <protection locked="0"/>
    </xf>
    <xf numFmtId="0" fontId="19" fillId="3" borderId="27" xfId="1" applyFont="1" applyFill="1" applyBorder="1" applyAlignment="1" applyProtection="1">
      <alignment horizontal="left" vertical="center" wrapText="1"/>
    </xf>
    <xf numFmtId="164" fontId="18" fillId="0" borderId="0" xfId="1" applyNumberFormat="1" applyFont="1" applyFill="1" applyBorder="1" applyAlignment="1" applyProtection="1">
      <alignment horizontal="center" vertical="center"/>
    </xf>
    <xf numFmtId="0" fontId="10" fillId="0" borderId="0" xfId="1" quotePrefix="1" applyFont="1" applyFill="1" applyBorder="1" applyAlignment="1" applyProtection="1">
      <alignment horizontal="center" vertical="center"/>
    </xf>
    <xf numFmtId="0" fontId="19" fillId="3" borderId="23" xfId="1" applyFont="1" applyFill="1" applyBorder="1" applyAlignment="1" applyProtection="1">
      <alignment vertical="center"/>
    </xf>
    <xf numFmtId="164" fontId="2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center" vertical="center"/>
    </xf>
    <xf numFmtId="0" fontId="14" fillId="3" borderId="5" xfId="1" applyFont="1" applyFill="1" applyBorder="1" applyAlignment="1" applyProtection="1">
      <alignment horizontal="center" vertical="center"/>
    </xf>
    <xf numFmtId="0" fontId="14" fillId="3" borderId="21" xfId="1" applyFont="1" applyFill="1" applyBorder="1" applyAlignment="1" applyProtection="1">
      <alignment horizontal="center" vertical="center"/>
    </xf>
    <xf numFmtId="2" fontId="18" fillId="3" borderId="10" xfId="1" applyNumberFormat="1" applyFont="1" applyFill="1" applyBorder="1" applyAlignment="1" applyProtection="1">
      <alignment horizontal="center" vertical="center"/>
    </xf>
    <xf numFmtId="2" fontId="14" fillId="3" borderId="11" xfId="1" applyNumberFormat="1" applyFont="1" applyFill="1" applyBorder="1" applyAlignment="1" applyProtection="1">
      <alignment horizontal="center" vertical="center"/>
    </xf>
    <xf numFmtId="0" fontId="14" fillId="3" borderId="9" xfId="1" applyFont="1" applyFill="1" applyBorder="1" applyAlignment="1" applyProtection="1">
      <alignment horizontal="left" vertical="center"/>
    </xf>
    <xf numFmtId="0" fontId="14" fillId="3" borderId="10" xfId="1" applyFont="1" applyFill="1" applyBorder="1" applyAlignment="1" applyProtection="1">
      <alignment horizontal="center" vertical="center"/>
    </xf>
    <xf numFmtId="16" fontId="8" fillId="3" borderId="11" xfId="1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left" vertical="center"/>
    </xf>
    <xf numFmtId="0" fontId="18" fillId="3" borderId="18" xfId="1" applyNumberFormat="1" applyFont="1" applyFill="1" applyBorder="1" applyAlignment="1">
      <alignment horizontal="center" vertical="center" wrapText="1"/>
    </xf>
    <xf numFmtId="0" fontId="18" fillId="3" borderId="20" xfId="1" applyNumberFormat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left" vertical="center" wrapText="1"/>
    </xf>
    <xf numFmtId="164" fontId="28" fillId="3" borderId="16" xfId="0" applyNumberFormat="1" applyFont="1" applyFill="1" applyBorder="1" applyAlignment="1">
      <alignment horizontal="center" vertical="center"/>
    </xf>
    <xf numFmtId="168" fontId="28" fillId="3" borderId="17" xfId="3" applyNumberFormat="1" applyFont="1" applyFill="1" applyBorder="1" applyAlignment="1">
      <alignment horizontal="center" vertical="center"/>
    </xf>
    <xf numFmtId="0" fontId="19" fillId="3" borderId="30" xfId="1" applyFont="1" applyFill="1" applyBorder="1" applyAlignment="1">
      <alignment horizontal="left" vertical="center" wrapText="1"/>
    </xf>
    <xf numFmtId="168" fontId="28" fillId="3" borderId="22" xfId="3" applyNumberFormat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left" vertical="center"/>
    </xf>
    <xf numFmtId="0" fontId="18" fillId="3" borderId="3" xfId="1" applyNumberFormat="1" applyFont="1" applyFill="1" applyBorder="1" applyAlignment="1">
      <alignment horizontal="center" vertical="center" wrapText="1"/>
    </xf>
    <xf numFmtId="0" fontId="18" fillId="3" borderId="4" xfId="1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 applyProtection="1">
      <alignment horizontal="left" vertical="center"/>
    </xf>
    <xf numFmtId="164" fontId="18" fillId="3" borderId="21" xfId="1" applyNumberFormat="1" applyFont="1" applyFill="1" applyBorder="1" applyAlignment="1" applyProtection="1">
      <alignment horizontal="center" vertical="center"/>
    </xf>
    <xf numFmtId="164" fontId="18" fillId="3" borderId="8" xfId="1" applyNumberFormat="1" applyFont="1" applyFill="1" applyBorder="1" applyAlignment="1" applyProtection="1">
      <alignment horizontal="center" vertical="center"/>
    </xf>
    <xf numFmtId="164" fontId="18" fillId="3" borderId="11" xfId="1" applyNumberFormat="1" applyFont="1" applyFill="1" applyBorder="1" applyAlignment="1" applyProtection="1">
      <alignment horizontal="center" vertical="center"/>
    </xf>
    <xf numFmtId="0" fontId="18" fillId="3" borderId="19" xfId="0" applyNumberFormat="1" applyFont="1" applyFill="1" applyBorder="1" applyAlignment="1">
      <alignment horizontal="left" vertical="center"/>
    </xf>
    <xf numFmtId="0" fontId="18" fillId="3" borderId="18" xfId="0" applyNumberFormat="1" applyFont="1" applyFill="1" applyBorder="1" applyAlignment="1">
      <alignment horizontal="center" vertical="center" wrapText="1"/>
    </xf>
    <xf numFmtId="0" fontId="18" fillId="3" borderId="20" xfId="0" applyNumberFormat="1" applyFont="1" applyFill="1" applyBorder="1" applyAlignment="1">
      <alignment horizontal="center" vertical="center" wrapText="1"/>
    </xf>
    <xf numFmtId="165" fontId="28" fillId="3" borderId="5" xfId="0" applyNumberFormat="1" applyFont="1" applyFill="1" applyBorder="1" applyAlignment="1">
      <alignment horizontal="center" vertical="center"/>
    </xf>
    <xf numFmtId="165" fontId="28" fillId="3" borderId="31" xfId="0" applyNumberFormat="1" applyFont="1" applyFill="1" applyBorder="1" applyAlignment="1">
      <alignment horizontal="center" vertical="center"/>
    </xf>
    <xf numFmtId="2" fontId="27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3" borderId="8" xfId="1" quotePrefix="1" applyNumberFormat="1" applyFont="1" applyFill="1" applyBorder="1" applyAlignment="1" applyProtection="1">
      <alignment horizontal="center" vertical="center"/>
    </xf>
    <xf numFmtId="164" fontId="27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vertical="center"/>
    </xf>
    <xf numFmtId="2" fontId="5" fillId="3" borderId="17" xfId="1" quotePrefix="1" applyNumberFormat="1" applyFont="1" applyFill="1" applyBorder="1" applyAlignment="1" applyProtection="1">
      <alignment horizontal="center" vertical="center"/>
    </xf>
    <xf numFmtId="2" fontId="18" fillId="3" borderId="16" xfId="1" applyNumberFormat="1" applyFont="1" applyFill="1" applyBorder="1" applyAlignment="1" applyProtection="1">
      <alignment horizontal="center" vertical="center"/>
    </xf>
    <xf numFmtId="0" fontId="10" fillId="3" borderId="16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left" vertical="center"/>
    </xf>
    <xf numFmtId="0" fontId="19" fillId="3" borderId="6" xfId="5" applyFont="1" applyFill="1" applyBorder="1" applyAlignment="1" applyProtection="1">
      <alignment horizontal="left" vertical="center"/>
    </xf>
    <xf numFmtId="0" fontId="19" fillId="3" borderId="9" xfId="5" applyFont="1" applyFill="1" applyBorder="1" applyAlignment="1" applyProtection="1">
      <alignment horizontal="left" vertical="center"/>
    </xf>
    <xf numFmtId="0" fontId="19" fillId="3" borderId="23" xfId="5" applyFont="1" applyFill="1" applyBorder="1" applyAlignment="1" applyProtection="1">
      <alignment horizontal="left" vertical="center"/>
    </xf>
    <xf numFmtId="0" fontId="20" fillId="3" borderId="9" xfId="0" applyNumberFormat="1" applyFont="1" applyFill="1" applyBorder="1" applyAlignment="1" applyProtection="1">
      <alignment horizontal="left" vertical="center" wrapText="1"/>
    </xf>
    <xf numFmtId="2" fontId="28" fillId="3" borderId="16" xfId="0" applyNumberFormat="1" applyFont="1" applyFill="1" applyBorder="1" applyAlignment="1">
      <alignment horizontal="center" vertical="center"/>
    </xf>
    <xf numFmtId="2" fontId="19" fillId="3" borderId="6" xfId="8" applyNumberFormat="1" applyFont="1" applyFill="1" applyBorder="1" applyAlignment="1" applyProtection="1">
      <alignment horizontal="left" vertical="center"/>
    </xf>
    <xf numFmtId="2" fontId="19" fillId="3" borderId="9" xfId="8" applyNumberFormat="1" applyFont="1" applyFill="1" applyBorder="1" applyAlignment="1" applyProtection="1">
      <alignment horizontal="left" vertical="center"/>
    </xf>
    <xf numFmtId="0" fontId="10" fillId="3" borderId="15" xfId="1" applyFont="1" applyFill="1" applyBorder="1" applyAlignment="1">
      <alignment horizontal="left" vertical="center" wrapText="1"/>
    </xf>
    <xf numFmtId="0" fontId="0" fillId="0" borderId="0" xfId="0"/>
    <xf numFmtId="0" fontId="19" fillId="3" borderId="8" xfId="8" applyFont="1" applyFill="1" applyBorder="1" applyAlignment="1" applyProtection="1">
      <alignment horizontal="center" vertical="center"/>
    </xf>
    <xf numFmtId="0" fontId="19" fillId="3" borderId="7" xfId="8" applyFont="1" applyFill="1" applyBorder="1" applyAlignment="1" applyProtection="1">
      <alignment horizontal="center" vertical="center"/>
    </xf>
    <xf numFmtId="0" fontId="19" fillId="3" borderId="15" xfId="8" applyFont="1" applyFill="1" applyBorder="1" applyAlignment="1" applyProtection="1">
      <alignment horizontal="left" vertical="center"/>
    </xf>
    <xf numFmtId="164" fontId="19" fillId="3" borderId="16" xfId="8" applyNumberFormat="1" applyFont="1" applyFill="1" applyBorder="1" applyAlignment="1" applyProtection="1">
      <alignment horizontal="center" vertical="center"/>
    </xf>
    <xf numFmtId="0" fontId="19" fillId="3" borderId="17" xfId="8" applyFont="1" applyFill="1" applyBorder="1" applyAlignment="1" applyProtection="1">
      <alignment horizontal="center" vertical="center"/>
    </xf>
    <xf numFmtId="0" fontId="19" fillId="3" borderId="23" xfId="8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center" vertical="center"/>
    </xf>
    <xf numFmtId="164" fontId="19" fillId="3" borderId="5" xfId="8" applyNumberFormat="1" applyFont="1" applyFill="1" applyBorder="1" applyAlignment="1" applyProtection="1">
      <alignment horizontal="center" vertical="center"/>
    </xf>
    <xf numFmtId="0" fontId="19" fillId="3" borderId="30" xfId="8" applyFont="1" applyFill="1" applyBorder="1" applyAlignment="1" applyProtection="1">
      <alignment horizontal="left" vertical="center"/>
    </xf>
    <xf numFmtId="2" fontId="33" fillId="0" borderId="31" xfId="8" applyNumberFormat="1" applyFont="1" applyFill="1" applyBorder="1" applyAlignment="1" applyProtection="1">
      <alignment horizontal="center" vertical="center"/>
      <protection locked="0"/>
    </xf>
    <xf numFmtId="2" fontId="33" fillId="0" borderId="16" xfId="8" applyNumberFormat="1" applyFont="1" applyFill="1" applyBorder="1" applyAlignment="1" applyProtection="1">
      <alignment horizontal="center" vertical="center"/>
      <protection locked="0"/>
    </xf>
    <xf numFmtId="2" fontId="33" fillId="0" borderId="5" xfId="8" applyNumberFormat="1" applyFont="1" applyFill="1" applyBorder="1" applyAlignment="1" applyProtection="1">
      <alignment horizontal="center" vertical="center"/>
      <protection locked="0"/>
    </xf>
    <xf numFmtId="2" fontId="33" fillId="0" borderId="7" xfId="8" applyNumberFormat="1" applyFont="1" applyFill="1" applyBorder="1" applyAlignment="1" applyProtection="1">
      <alignment horizontal="center" vertical="center"/>
      <protection locked="0"/>
    </xf>
    <xf numFmtId="164" fontId="19" fillId="3" borderId="31" xfId="8" applyNumberFormat="1" applyFont="1" applyFill="1" applyBorder="1" applyAlignment="1" applyProtection="1">
      <alignment horizontal="center" vertical="center"/>
    </xf>
    <xf numFmtId="0" fontId="19" fillId="3" borderId="22" xfId="8" applyFont="1" applyFill="1" applyBorder="1" applyAlignment="1" applyProtection="1">
      <alignment horizontal="center" vertical="center"/>
    </xf>
    <xf numFmtId="0" fontId="19" fillId="3" borderId="9" xfId="8" applyFont="1" applyFill="1" applyBorder="1" applyAlignment="1" applyProtection="1">
      <alignment horizontal="left" vertical="center"/>
    </xf>
    <xf numFmtId="0" fontId="4" fillId="3" borderId="6" xfId="1" applyFont="1" applyFill="1" applyBorder="1" applyAlignment="1">
      <alignment horizontal="left" vertical="center" wrapText="1"/>
    </xf>
    <xf numFmtId="10" fontId="28" fillId="3" borderId="17" xfId="3" applyNumberFormat="1" applyFont="1" applyFill="1" applyBorder="1" applyAlignment="1">
      <alignment horizontal="center" vertical="center"/>
    </xf>
    <xf numFmtId="0" fontId="4" fillId="3" borderId="9" xfId="8" applyFont="1" applyFill="1" applyBorder="1" applyAlignment="1">
      <alignment horizontal="left" vertical="center" wrapText="1"/>
    </xf>
    <xf numFmtId="2" fontId="28" fillId="3" borderId="10" xfId="0" applyNumberFormat="1" applyFont="1" applyFill="1" applyBorder="1" applyAlignment="1">
      <alignment horizontal="center" vertical="center"/>
    </xf>
    <xf numFmtId="10" fontId="28" fillId="3" borderId="22" xfId="3" applyNumberFormat="1" applyFont="1" applyFill="1" applyBorder="1" applyAlignment="1">
      <alignment horizontal="center" vertical="center"/>
    </xf>
    <xf numFmtId="2" fontId="28" fillId="3" borderId="7" xfId="0" applyNumberFormat="1" applyFont="1" applyFill="1" applyBorder="1" applyAlignment="1">
      <alignment horizontal="center" vertical="center"/>
    </xf>
    <xf numFmtId="10" fontId="28" fillId="3" borderId="21" xfId="3" applyNumberFormat="1" applyFont="1" applyFill="1" applyBorder="1" applyAlignment="1">
      <alignment horizontal="center" vertical="center"/>
    </xf>
    <xf numFmtId="0" fontId="19" fillId="3" borderId="6" xfId="8" applyFont="1" applyFill="1" applyBorder="1" applyAlignment="1" applyProtection="1">
      <alignment horizontal="left" vertical="center"/>
    </xf>
    <xf numFmtId="0" fontId="0" fillId="3" borderId="23" xfId="0" applyFill="1" applyBorder="1"/>
    <xf numFmtId="0" fontId="19" fillId="0" borderId="6" xfId="0" applyNumberFormat="1" applyFont="1" applyFill="1" applyBorder="1" applyAlignment="1">
      <alignment horizontal="left" vertical="center" wrapText="1"/>
    </xf>
    <xf numFmtId="167" fontId="19" fillId="0" borderId="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9" fillId="3" borderId="23" xfId="8" applyFont="1" applyFill="1" applyBorder="1" applyAlignment="1">
      <alignment horizontal="left" vertical="center" wrapText="1"/>
    </xf>
    <xf numFmtId="164" fontId="28" fillId="3" borderId="5" xfId="0" applyNumberFormat="1" applyFont="1" applyFill="1" applyBorder="1" applyAlignment="1">
      <alignment horizontal="center" vertical="center"/>
    </xf>
    <xf numFmtId="168" fontId="28" fillId="3" borderId="21" xfId="3" applyNumberFormat="1" applyFont="1" applyFill="1" applyBorder="1" applyAlignment="1">
      <alignment horizontal="center" vertical="center"/>
    </xf>
    <xf numFmtId="0" fontId="4" fillId="3" borderId="6" xfId="8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9" xfId="0" applyFill="1" applyBorder="1"/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9" fontId="40" fillId="3" borderId="7" xfId="3" applyFont="1" applyFill="1" applyBorder="1" applyAlignment="1" applyProtection="1">
      <alignment horizontal="center" vertical="center"/>
      <protection locked="0"/>
    </xf>
    <xf numFmtId="9" fontId="40" fillId="3" borderId="10" xfId="3" applyFont="1" applyFill="1" applyBorder="1" applyAlignment="1" applyProtection="1">
      <alignment horizontal="center" vertical="center"/>
      <protection locked="0"/>
    </xf>
    <xf numFmtId="9" fontId="40" fillId="3" borderId="8" xfId="3" applyFont="1" applyFill="1" applyBorder="1" applyAlignment="1" applyProtection="1">
      <alignment horizontal="center" vertical="center"/>
      <protection locked="0"/>
    </xf>
    <xf numFmtId="9" fontId="40" fillId="3" borderId="11" xfId="3" applyFont="1" applyFill="1" applyBorder="1" applyAlignment="1" applyProtection="1">
      <alignment horizontal="center" vertical="center"/>
      <protection locked="0"/>
    </xf>
    <xf numFmtId="0" fontId="19" fillId="3" borderId="6" xfId="8" applyFont="1" applyFill="1" applyBorder="1" applyAlignment="1" applyProtection="1">
      <alignment horizontal="left" vertical="center" wrapText="1"/>
    </xf>
    <xf numFmtId="0" fontId="20" fillId="3" borderId="15" xfId="0" applyNumberFormat="1" applyFont="1" applyFill="1" applyBorder="1" applyAlignment="1" applyProtection="1">
      <alignment horizontal="left" vertical="center" wrapText="1"/>
    </xf>
    <xf numFmtId="0" fontId="20" fillId="3" borderId="6" xfId="0" applyNumberFormat="1" applyFont="1" applyFill="1" applyBorder="1" applyAlignment="1" applyProtection="1">
      <alignment horizontal="left" vertical="center" wrapText="1"/>
    </xf>
    <xf numFmtId="9" fontId="40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40" fillId="3" borderId="21" xfId="3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/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left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left" vertical="center" wrapText="1"/>
    </xf>
    <xf numFmtId="164" fontId="18" fillId="0" borderId="0" xfId="1" applyNumberFormat="1" applyFont="1" applyFill="1" applyBorder="1" applyAlignment="1" applyProtection="1">
      <alignment horizontal="left" vertical="center"/>
      <protection locked="0"/>
    </xf>
    <xf numFmtId="164" fontId="19" fillId="3" borderId="7" xfId="8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9" fillId="0" borderId="0" xfId="5" applyFont="1" applyFill="1" applyBorder="1" applyAlignment="1" applyProtection="1">
      <alignment horizontal="left" vertical="center"/>
    </xf>
    <xf numFmtId="164" fontId="19" fillId="0" borderId="0" xfId="1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0" fontId="0" fillId="3" borderId="0" xfId="0" applyFill="1"/>
    <xf numFmtId="0" fontId="0" fillId="6" borderId="0" xfId="0" applyFill="1"/>
    <xf numFmtId="0" fontId="0" fillId="7" borderId="0" xfId="0" applyFill="1"/>
    <xf numFmtId="164" fontId="13" fillId="3" borderId="0" xfId="2" applyNumberFormat="1" applyFill="1" applyAlignment="1">
      <alignment horizontal="center"/>
    </xf>
    <xf numFmtId="167" fontId="13" fillId="3" borderId="0" xfId="2" applyNumberFormat="1" applyFill="1" applyAlignment="1">
      <alignment horizontal="right" vertical="center"/>
    </xf>
    <xf numFmtId="164" fontId="13" fillId="6" borderId="0" xfId="2" applyNumberFormat="1" applyFill="1" applyAlignment="1">
      <alignment horizontal="center"/>
    </xf>
    <xf numFmtId="164" fontId="13" fillId="7" borderId="0" xfId="2" applyNumberFormat="1" applyFill="1" applyAlignment="1">
      <alignment horizontal="center"/>
    </xf>
    <xf numFmtId="0" fontId="43" fillId="0" borderId="0" xfId="0" applyFont="1"/>
    <xf numFmtId="0" fontId="44" fillId="0" borderId="0" xfId="0" applyFont="1"/>
    <xf numFmtId="167" fontId="13" fillId="6" borderId="0" xfId="2" applyNumberFormat="1" applyFill="1" applyAlignment="1">
      <alignment horizontal="right" vertical="center"/>
    </xf>
    <xf numFmtId="167" fontId="13" fillId="7" borderId="0" xfId="2" applyNumberFormat="1" applyFill="1" applyAlignment="1">
      <alignment horizontal="right" vertical="center"/>
    </xf>
    <xf numFmtId="0" fontId="0" fillId="2" borderId="0" xfId="0" applyFill="1"/>
    <xf numFmtId="0" fontId="18" fillId="8" borderId="0" xfId="1" applyNumberFormat="1" applyFont="1" applyFill="1" applyBorder="1" applyAlignment="1">
      <alignment horizontal="center" vertical="center" wrapText="1"/>
    </xf>
    <xf numFmtId="164" fontId="45" fillId="8" borderId="38" xfId="0" applyNumberFormat="1" applyFont="1" applyFill="1" applyBorder="1" applyAlignment="1">
      <alignment horizontal="center" vertical="center"/>
    </xf>
    <xf numFmtId="0" fontId="18" fillId="3" borderId="41" xfId="1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164" fontId="0" fillId="8" borderId="0" xfId="0" applyNumberFormat="1" applyFont="1" applyFill="1" applyAlignment="1">
      <alignment horizontal="center"/>
    </xf>
    <xf numFmtId="0" fontId="0" fillId="8" borderId="42" xfId="0" applyFont="1" applyFill="1" applyBorder="1" applyAlignment="1">
      <alignment horizontal="center"/>
    </xf>
    <xf numFmtId="164" fontId="46" fillId="3" borderId="41" xfId="0" applyNumberFormat="1" applyFont="1" applyFill="1" applyBorder="1" applyAlignment="1">
      <alignment horizontal="center" vertical="center"/>
    </xf>
    <xf numFmtId="0" fontId="47" fillId="3" borderId="41" xfId="1" applyNumberFormat="1" applyFont="1" applyFill="1" applyBorder="1" applyAlignment="1">
      <alignment horizontal="center" vertical="center" wrapText="1"/>
    </xf>
    <xf numFmtId="0" fontId="48" fillId="3" borderId="41" xfId="1" applyNumberFormat="1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44" xfId="0" applyFont="1" applyFill="1" applyBorder="1" applyAlignment="1">
      <alignment horizontal="center"/>
    </xf>
    <xf numFmtId="0" fontId="0" fillId="8" borderId="45" xfId="0" applyFont="1" applyFill="1" applyBorder="1" applyAlignment="1">
      <alignment horizontal="center"/>
    </xf>
    <xf numFmtId="0" fontId="0" fillId="8" borderId="50" xfId="0" applyFont="1" applyFill="1" applyBorder="1" applyAlignment="1">
      <alignment horizontal="center"/>
    </xf>
    <xf numFmtId="0" fontId="18" fillId="9" borderId="41" xfId="1" applyNumberFormat="1" applyFont="1" applyFill="1" applyBorder="1" applyAlignment="1">
      <alignment horizontal="center" vertical="center" wrapText="1"/>
    </xf>
    <xf numFmtId="0" fontId="48" fillId="9" borderId="41" xfId="1" applyNumberFormat="1" applyFont="1" applyFill="1" applyBorder="1" applyAlignment="1">
      <alignment horizontal="center" vertical="center" wrapText="1"/>
    </xf>
    <xf numFmtId="0" fontId="47" fillId="9" borderId="41" xfId="1" applyNumberFormat="1" applyFont="1" applyFill="1" applyBorder="1" applyAlignment="1">
      <alignment horizontal="center" vertical="center" wrapText="1"/>
    </xf>
    <xf numFmtId="164" fontId="28" fillId="9" borderId="41" xfId="0" applyNumberFormat="1" applyFont="1" applyFill="1" applyBorder="1" applyAlignment="1">
      <alignment horizontal="center" vertical="center"/>
    </xf>
    <xf numFmtId="164" fontId="45" fillId="9" borderId="41" xfId="0" applyNumberFormat="1" applyFont="1" applyFill="1" applyBorder="1" applyAlignment="1">
      <alignment horizontal="center" vertical="center"/>
    </xf>
    <xf numFmtId="164" fontId="46" fillId="9" borderId="41" xfId="0" applyNumberFormat="1" applyFont="1" applyFill="1" applyBorder="1" applyAlignment="1">
      <alignment horizontal="center" vertical="center"/>
    </xf>
    <xf numFmtId="0" fontId="18" fillId="9" borderId="41" xfId="1" applyFont="1" applyFill="1" applyBorder="1" applyAlignment="1">
      <alignment horizontal="center" vertical="center"/>
    </xf>
    <xf numFmtId="0" fontId="18" fillId="9" borderId="44" xfId="1" applyFont="1" applyFill="1" applyBorder="1" applyAlignment="1">
      <alignment vertical="center"/>
    </xf>
    <xf numFmtId="0" fontId="18" fillId="2" borderId="46" xfId="1" applyNumberFormat="1" applyFont="1" applyFill="1" applyBorder="1" applyAlignment="1">
      <alignment horizontal="center" vertical="center" wrapText="1"/>
    </xf>
    <xf numFmtId="0" fontId="18" fillId="2" borderId="41" xfId="1" applyNumberFormat="1" applyFont="1" applyFill="1" applyBorder="1" applyAlignment="1">
      <alignment horizontal="center" vertical="center" wrapText="1"/>
    </xf>
    <xf numFmtId="0" fontId="48" fillId="2" borderId="41" xfId="1" applyNumberFormat="1" applyFont="1" applyFill="1" applyBorder="1" applyAlignment="1">
      <alignment horizontal="center" vertical="center" wrapText="1"/>
    </xf>
    <xf numFmtId="164" fontId="46" fillId="2" borderId="41" xfId="0" applyNumberFormat="1" applyFont="1" applyFill="1" applyBorder="1" applyAlignment="1">
      <alignment horizontal="center" vertical="center"/>
    </xf>
    <xf numFmtId="0" fontId="47" fillId="2" borderId="41" xfId="1" applyNumberFormat="1" applyFont="1" applyFill="1" applyBorder="1" applyAlignment="1">
      <alignment horizontal="center" vertical="center" wrapText="1"/>
    </xf>
    <xf numFmtId="0" fontId="18" fillId="10" borderId="41" xfId="1" applyNumberFormat="1" applyFont="1" applyFill="1" applyBorder="1" applyAlignment="1">
      <alignment horizontal="center" vertical="center" wrapText="1"/>
    </xf>
    <xf numFmtId="0" fontId="48" fillId="10" borderId="41" xfId="1" applyNumberFormat="1" applyFont="1" applyFill="1" applyBorder="1" applyAlignment="1">
      <alignment horizontal="center" vertical="center" wrapText="1"/>
    </xf>
    <xf numFmtId="0" fontId="47" fillId="10" borderId="41" xfId="1" applyNumberFormat="1" applyFont="1" applyFill="1" applyBorder="1" applyAlignment="1">
      <alignment horizontal="center" vertical="center" wrapText="1"/>
    </xf>
    <xf numFmtId="164" fontId="28" fillId="10" borderId="41" xfId="0" applyNumberFormat="1" applyFont="1" applyFill="1" applyBorder="1" applyAlignment="1">
      <alignment horizontal="center" vertical="center"/>
    </xf>
    <xf numFmtId="164" fontId="45" fillId="10" borderId="41" xfId="0" applyNumberFormat="1" applyFont="1" applyFill="1" applyBorder="1" applyAlignment="1">
      <alignment horizontal="center" vertical="center"/>
    </xf>
    <xf numFmtId="164" fontId="46" fillId="10" borderId="41" xfId="0" applyNumberFormat="1" applyFont="1" applyFill="1" applyBorder="1" applyAlignment="1">
      <alignment horizontal="center" vertical="center"/>
    </xf>
    <xf numFmtId="0" fontId="18" fillId="10" borderId="41" xfId="1" applyFont="1" applyFill="1" applyBorder="1" applyAlignment="1">
      <alignment horizontal="center" vertical="center"/>
    </xf>
    <xf numFmtId="0" fontId="3" fillId="0" borderId="0" xfId="1" applyFont="1" applyProtection="1"/>
    <xf numFmtId="0" fontId="3" fillId="0" borderId="0" xfId="1" applyFont="1" applyFill="1" applyBorder="1" applyProtection="1"/>
    <xf numFmtId="2" fontId="41" fillId="0" borderId="7" xfId="1" applyNumberFormat="1" applyFont="1" applyFill="1" applyBorder="1" applyAlignment="1" applyProtection="1">
      <alignment horizontal="center" vertical="center"/>
      <protection locked="0"/>
    </xf>
    <xf numFmtId="164" fontId="28" fillId="2" borderId="41" xfId="0" applyNumberFormat="1" applyFont="1" applyFill="1" applyBorder="1" applyAlignment="1">
      <alignment horizontal="center" vertical="center"/>
    </xf>
    <xf numFmtId="164" fontId="45" fillId="2" borderId="41" xfId="0" applyNumberFormat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0" fontId="18" fillId="10" borderId="43" xfId="1" applyFont="1" applyFill="1" applyBorder="1" applyAlignment="1">
      <alignment horizontal="center" vertical="center"/>
    </xf>
    <xf numFmtId="0" fontId="18" fillId="3" borderId="41" xfId="1" applyFont="1" applyFill="1" applyBorder="1" applyAlignment="1">
      <alignment horizontal="center" vertical="center"/>
    </xf>
    <xf numFmtId="164" fontId="45" fillId="3" borderId="41" xfId="0" applyNumberFormat="1" applyFont="1" applyFill="1" applyBorder="1" applyAlignment="1">
      <alignment horizontal="center" vertical="center"/>
    </xf>
    <xf numFmtId="0" fontId="48" fillId="3" borderId="43" xfId="1" applyNumberFormat="1" applyFont="1" applyFill="1" applyBorder="1" applyAlignment="1">
      <alignment horizontal="center" vertical="center" wrapText="1"/>
    </xf>
    <xf numFmtId="0" fontId="47" fillId="3" borderId="43" xfId="1" applyNumberFormat="1" applyFont="1" applyFill="1" applyBorder="1" applyAlignment="1">
      <alignment horizontal="center" vertical="center" wrapText="1"/>
    </xf>
    <xf numFmtId="164" fontId="49" fillId="3" borderId="41" xfId="0" applyNumberFormat="1" applyFont="1" applyFill="1" applyBorder="1" applyAlignment="1">
      <alignment horizontal="center" vertical="center"/>
    </xf>
    <xf numFmtId="164" fontId="28" fillId="3" borderId="41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3" borderId="2" xfId="1" applyFont="1" applyFill="1" applyBorder="1" applyAlignment="1" applyProtection="1">
      <alignment vertical="center"/>
    </xf>
    <xf numFmtId="0" fontId="18" fillId="3" borderId="2" xfId="1" applyFont="1" applyFill="1" applyBorder="1" applyProtection="1"/>
    <xf numFmtId="0" fontId="18" fillId="3" borderId="19" xfId="1" applyFont="1" applyFill="1" applyBorder="1" applyProtection="1"/>
    <xf numFmtId="0" fontId="18" fillId="3" borderId="3" xfId="1" applyNumberFormat="1" applyFont="1" applyFill="1" applyBorder="1" applyAlignment="1" applyProtection="1">
      <alignment horizontal="center" vertical="center" wrapText="1"/>
    </xf>
    <xf numFmtId="0" fontId="18" fillId="3" borderId="18" xfId="1" applyNumberFormat="1" applyFont="1" applyFill="1" applyBorder="1" applyAlignment="1" applyProtection="1">
      <alignment horizontal="center" vertical="center" wrapText="1"/>
    </xf>
    <xf numFmtId="0" fontId="18" fillId="3" borderId="4" xfId="1" applyNumberFormat="1" applyFont="1" applyFill="1" applyBorder="1" applyAlignment="1" applyProtection="1">
      <alignment horizontal="center" vertical="center" wrapText="1"/>
    </xf>
    <xf numFmtId="0" fontId="18" fillId="3" borderId="20" xfId="1" applyNumberFormat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/>
    </xf>
    <xf numFmtId="0" fontId="18" fillId="3" borderId="3" xfId="1" applyFont="1" applyFill="1" applyBorder="1" applyAlignment="1" applyProtection="1">
      <alignment horizontal="center" vertical="center"/>
    </xf>
    <xf numFmtId="0" fontId="18" fillId="3" borderId="4" xfId="1" applyFont="1" applyFill="1" applyBorder="1" applyAlignment="1" applyProtection="1">
      <alignment horizontal="center" vertical="center"/>
    </xf>
    <xf numFmtId="0" fontId="18" fillId="3" borderId="16" xfId="1" applyFont="1" applyFill="1" applyBorder="1" applyAlignment="1" applyProtection="1">
      <alignment horizontal="center" vertical="center"/>
    </xf>
    <xf numFmtId="0" fontId="18" fillId="3" borderId="17" xfId="1" applyFont="1" applyFill="1" applyBorder="1" applyAlignment="1" applyProtection="1">
      <alignment horizontal="center" vertical="center"/>
    </xf>
    <xf numFmtId="0" fontId="14" fillId="0" borderId="0" xfId="1" applyFont="1" applyFill="1" applyProtection="1"/>
    <xf numFmtId="0" fontId="14" fillId="0" borderId="0" xfId="1" applyFont="1" applyFill="1" applyAlignment="1" applyProtection="1">
      <alignment horizontal="center" vertical="center"/>
    </xf>
    <xf numFmtId="164" fontId="27" fillId="0" borderId="28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ill="1" applyProtection="1"/>
    <xf numFmtId="0" fontId="18" fillId="3" borderId="19" xfId="1" applyFont="1" applyFill="1" applyBorder="1" applyAlignment="1" applyProtection="1">
      <alignment horizontal="left" vertical="center"/>
    </xf>
    <xf numFmtId="0" fontId="18" fillId="3" borderId="18" xfId="1" applyFont="1" applyFill="1" applyBorder="1" applyAlignment="1" applyProtection="1">
      <alignment horizontal="center" vertical="center"/>
    </xf>
    <xf numFmtId="0" fontId="18" fillId="3" borderId="2" xfId="1" applyFont="1" applyFill="1" applyBorder="1" applyAlignment="1" applyProtection="1">
      <alignment horizontal="left" vertical="center"/>
    </xf>
    <xf numFmtId="0" fontId="18" fillId="3" borderId="20" xfId="8" applyNumberFormat="1" applyFont="1" applyFill="1" applyBorder="1" applyAlignment="1" applyProtection="1">
      <alignment horizontal="center" vertical="center" wrapText="1"/>
    </xf>
    <xf numFmtId="0" fontId="18" fillId="3" borderId="19" xfId="1" applyNumberFormat="1" applyFont="1" applyFill="1" applyBorder="1" applyAlignment="1" applyProtection="1">
      <alignment horizontal="left" vertical="center" wrapText="1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3" applyNumberFormat="1" applyFont="1" applyFill="1" applyProtection="1"/>
    <xf numFmtId="0" fontId="4" fillId="0" borderId="0" xfId="8" applyFont="1" applyFill="1" applyAlignment="1" applyProtection="1">
      <alignment horizontal="left" vertical="center"/>
    </xf>
    <xf numFmtId="0" fontId="4" fillId="0" borderId="0" xfId="8" applyFont="1" applyFill="1" applyAlignment="1" applyProtection="1">
      <alignment horizontal="center" vertical="center"/>
    </xf>
    <xf numFmtId="0" fontId="4" fillId="0" borderId="36" xfId="8" applyFont="1" applyFill="1" applyBorder="1" applyAlignment="1" applyProtection="1">
      <alignment vertical="center"/>
    </xf>
    <xf numFmtId="0" fontId="4" fillId="0" borderId="35" xfId="8" applyFont="1" applyFill="1" applyBorder="1" applyAlignment="1" applyProtection="1">
      <alignment vertical="center"/>
    </xf>
    <xf numFmtId="0" fontId="18" fillId="3" borderId="29" xfId="1" applyFont="1" applyFill="1" applyBorder="1" applyAlignment="1" applyProtection="1">
      <alignment horizontal="left" vertical="center"/>
    </xf>
    <xf numFmtId="0" fontId="18" fillId="3" borderId="1" xfId="1" applyFont="1" applyFill="1" applyBorder="1" applyAlignment="1" applyProtection="1">
      <alignment horizontal="left" vertical="center"/>
    </xf>
    <xf numFmtId="0" fontId="18" fillId="3" borderId="2" xfId="1" applyNumberFormat="1" applyFont="1" applyFill="1" applyBorder="1" applyAlignment="1" applyProtection="1">
      <alignment horizontal="left" vertical="center" wrapText="1"/>
    </xf>
    <xf numFmtId="0" fontId="19" fillId="3" borderId="16" xfId="1" applyNumberFormat="1" applyFont="1" applyFill="1" applyBorder="1" applyAlignment="1" applyProtection="1">
      <alignment horizontal="center" vertical="center" wrapText="1"/>
    </xf>
    <xf numFmtId="0" fontId="19" fillId="3" borderId="17" xfId="1" applyNumberFormat="1" applyFont="1" applyFill="1" applyBorder="1" applyAlignment="1" applyProtection="1">
      <alignment horizontal="center" vertical="center" wrapText="1"/>
    </xf>
    <xf numFmtId="0" fontId="19" fillId="3" borderId="7" xfId="1" applyNumberFormat="1" applyFont="1" applyFill="1" applyBorder="1" applyAlignment="1" applyProtection="1">
      <alignment horizontal="center" vertical="center" wrapText="1"/>
    </xf>
    <xf numFmtId="0" fontId="19" fillId="3" borderId="8" xfId="1" applyNumberFormat="1" applyFont="1" applyFill="1" applyBorder="1" applyAlignment="1" applyProtection="1">
      <alignment horizontal="center" vertical="center" wrapText="1"/>
    </xf>
    <xf numFmtId="0" fontId="19" fillId="3" borderId="10" xfId="1" applyNumberFormat="1" applyFont="1" applyFill="1" applyBorder="1" applyAlignment="1" applyProtection="1">
      <alignment horizontal="center" vertical="center" wrapText="1"/>
    </xf>
    <xf numFmtId="0" fontId="19" fillId="3" borderId="11" xfId="1" applyNumberFormat="1" applyFont="1" applyFill="1" applyBorder="1" applyAlignment="1" applyProtection="1">
      <alignment horizontal="center" vertical="center" wrapText="1"/>
    </xf>
    <xf numFmtId="0" fontId="18" fillId="3" borderId="29" xfId="8" applyFont="1" applyFill="1" applyBorder="1" applyAlignment="1" applyProtection="1">
      <alignment horizontal="left" vertical="center"/>
    </xf>
    <xf numFmtId="0" fontId="18" fillId="3" borderId="19" xfId="8" applyFont="1" applyFill="1" applyBorder="1" applyAlignment="1" applyProtection="1">
      <alignment horizontal="left" vertical="center"/>
    </xf>
    <xf numFmtId="0" fontId="18" fillId="3" borderId="2" xfId="8" applyFont="1" applyFill="1" applyBorder="1" applyAlignment="1" applyProtection="1">
      <alignment horizontal="left" vertical="center"/>
    </xf>
    <xf numFmtId="0" fontId="18" fillId="3" borderId="18" xfId="8" applyNumberFormat="1" applyFont="1" applyFill="1" applyBorder="1" applyAlignment="1" applyProtection="1">
      <alignment horizontal="center" vertical="center" wrapText="1"/>
    </xf>
    <xf numFmtId="0" fontId="18" fillId="3" borderId="3" xfId="8" applyNumberFormat="1" applyFont="1" applyFill="1" applyBorder="1" applyAlignment="1" applyProtection="1">
      <alignment horizontal="center" vertical="center" wrapText="1"/>
    </xf>
    <xf numFmtId="0" fontId="18" fillId="3" borderId="4" xfId="8" applyNumberFormat="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19" fillId="9" borderId="15" xfId="0" applyNumberFormat="1" applyFont="1" applyFill="1" applyBorder="1" applyAlignment="1">
      <alignment horizontal="left" vertical="center" wrapText="1"/>
    </xf>
    <xf numFmtId="167" fontId="19" fillId="9" borderId="16" xfId="0" applyNumberFormat="1" applyFont="1" applyFill="1" applyBorder="1" applyAlignment="1">
      <alignment horizontal="center" vertical="center" wrapText="1"/>
    </xf>
    <xf numFmtId="0" fontId="19" fillId="9" borderId="17" xfId="0" applyNumberFormat="1" applyFont="1" applyFill="1" applyBorder="1" applyAlignment="1">
      <alignment horizontal="center" vertical="center" wrapText="1"/>
    </xf>
    <xf numFmtId="0" fontId="0" fillId="9" borderId="37" xfId="0" applyFill="1" applyBorder="1" applyAlignment="1">
      <alignment vertical="center" wrapText="1"/>
    </xf>
    <xf numFmtId="167" fontId="19" fillId="9" borderId="5" xfId="0" applyNumberFormat="1" applyFont="1" applyFill="1" applyBorder="1" applyAlignment="1">
      <alignment horizontal="center" vertical="center" wrapText="1"/>
    </xf>
    <xf numFmtId="0" fontId="19" fillId="9" borderId="8" xfId="0" applyNumberFormat="1" applyFont="1" applyFill="1" applyBorder="1" applyAlignment="1">
      <alignment horizontal="center" vertical="center" wrapText="1"/>
    </xf>
    <xf numFmtId="0" fontId="19" fillId="9" borderId="6" xfId="0" applyNumberFormat="1" applyFont="1" applyFill="1" applyBorder="1" applyAlignment="1">
      <alignment horizontal="left" vertical="center" wrapText="1"/>
    </xf>
    <xf numFmtId="167" fontId="19" fillId="9" borderId="7" xfId="0" applyNumberFormat="1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left" vertical="center" wrapText="1"/>
    </xf>
    <xf numFmtId="167" fontId="19" fillId="2" borderId="7" xfId="0" applyNumberFormat="1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0" fontId="19" fillId="10" borderId="6" xfId="0" applyNumberFormat="1" applyFont="1" applyFill="1" applyBorder="1" applyAlignment="1">
      <alignment horizontal="left" vertical="center" wrapText="1"/>
    </xf>
    <xf numFmtId="167" fontId="19" fillId="10" borderId="7" xfId="0" applyNumberFormat="1" applyFont="1" applyFill="1" applyBorder="1" applyAlignment="1">
      <alignment horizontal="center" vertical="center" wrapText="1"/>
    </xf>
    <xf numFmtId="0" fontId="19" fillId="10" borderId="8" xfId="0" applyNumberFormat="1" applyFont="1" applyFill="1" applyBorder="1" applyAlignment="1">
      <alignment horizontal="center" vertical="center" wrapText="1"/>
    </xf>
    <xf numFmtId="0" fontId="19" fillId="10" borderId="6" xfId="0" applyNumberFormat="1" applyFont="1" applyFill="1" applyBorder="1" applyAlignment="1">
      <alignment horizontal="left" vertical="center"/>
    </xf>
    <xf numFmtId="0" fontId="19" fillId="10" borderId="7" xfId="0" applyNumberFormat="1" applyFont="1" applyFill="1" applyBorder="1" applyAlignment="1">
      <alignment horizontal="center" vertical="center"/>
    </xf>
    <xf numFmtId="0" fontId="19" fillId="10" borderId="8" xfId="0" applyNumberFormat="1" applyFont="1" applyFill="1" applyBorder="1" applyAlignment="1">
      <alignment horizontal="center" vertical="center"/>
    </xf>
    <xf numFmtId="0" fontId="19" fillId="11" borderId="6" xfId="0" applyNumberFormat="1" applyFont="1" applyFill="1" applyBorder="1" applyAlignment="1">
      <alignment horizontal="left" vertical="center" wrapText="1"/>
    </xf>
    <xf numFmtId="167" fontId="19" fillId="11" borderId="7" xfId="0" applyNumberFormat="1" applyFont="1" applyFill="1" applyBorder="1" applyAlignment="1">
      <alignment horizontal="center" vertical="center" wrapText="1"/>
    </xf>
    <xf numFmtId="0" fontId="19" fillId="11" borderId="8" xfId="0" applyNumberFormat="1" applyFont="1" applyFill="1" applyBorder="1" applyAlignment="1">
      <alignment horizontal="center" vertical="center" wrapText="1"/>
    </xf>
    <xf numFmtId="0" fontId="19" fillId="11" borderId="6" xfId="0" applyNumberFormat="1" applyFont="1" applyFill="1" applyBorder="1" applyAlignment="1">
      <alignment horizontal="left" vertical="center"/>
    </xf>
    <xf numFmtId="0" fontId="19" fillId="11" borderId="7" xfId="0" applyNumberFormat="1" applyFont="1" applyFill="1" applyBorder="1" applyAlignment="1">
      <alignment horizontal="center" vertical="center"/>
    </xf>
    <xf numFmtId="0" fontId="19" fillId="11" borderId="8" xfId="0" applyNumberFormat="1" applyFont="1" applyFill="1" applyBorder="1" applyAlignment="1">
      <alignment horizontal="center" vertical="center"/>
    </xf>
    <xf numFmtId="0" fontId="19" fillId="11" borderId="9" xfId="29" applyNumberFormat="1" applyFont="1" applyFill="1" applyBorder="1" applyAlignment="1">
      <alignment horizontal="left" vertical="center" wrapText="1"/>
    </xf>
    <xf numFmtId="0" fontId="19" fillId="11" borderId="10" xfId="29" applyNumberFormat="1" applyFont="1" applyFill="1" applyBorder="1" applyAlignment="1">
      <alignment horizontal="center" vertical="center" wrapText="1"/>
    </xf>
    <xf numFmtId="0" fontId="19" fillId="11" borderId="11" xfId="29" applyFont="1" applyFill="1" applyBorder="1" applyAlignment="1">
      <alignment horizontal="center" vertical="center"/>
    </xf>
    <xf numFmtId="0" fontId="53" fillId="0" borderId="0" xfId="0" applyFont="1"/>
    <xf numFmtId="0" fontId="53" fillId="0" borderId="0" xfId="0" applyFont="1" applyFill="1"/>
    <xf numFmtId="0" fontId="54" fillId="0" borderId="0" xfId="53" applyFont="1" applyFill="1" applyAlignment="1" applyProtection="1">
      <alignment horizontal="left" vertical="center"/>
    </xf>
    <xf numFmtId="0" fontId="56" fillId="3" borderId="2" xfId="1" applyFont="1" applyFill="1" applyBorder="1"/>
    <xf numFmtId="0" fontId="56" fillId="3" borderId="4" xfId="1" applyFont="1" applyFill="1" applyBorder="1"/>
    <xf numFmtId="0" fontId="56" fillId="3" borderId="15" xfId="1" applyFont="1" applyFill="1" applyBorder="1"/>
    <xf numFmtId="0" fontId="56" fillId="3" borderId="17" xfId="1" applyNumberFormat="1" applyFont="1" applyFill="1" applyBorder="1" applyAlignment="1">
      <alignment horizontal="left" vertical="center" wrapText="1"/>
    </xf>
    <xf numFmtId="0" fontId="57" fillId="3" borderId="23" xfId="1" applyFont="1" applyFill="1" applyBorder="1"/>
    <xf numFmtId="0" fontId="57" fillId="3" borderId="21" xfId="1" applyNumberFormat="1" applyFont="1" applyFill="1" applyBorder="1" applyAlignment="1">
      <alignment horizontal="left" vertical="center" wrapText="1"/>
    </xf>
    <xf numFmtId="0" fontId="55" fillId="3" borderId="6" xfId="0" applyFont="1" applyFill="1" applyBorder="1"/>
    <xf numFmtId="0" fontId="55" fillId="3" borderId="8" xfId="0" applyFont="1" applyFill="1" applyBorder="1"/>
    <xf numFmtId="0" fontId="55" fillId="3" borderId="9" xfId="0" applyFont="1" applyFill="1" applyBorder="1"/>
    <xf numFmtId="0" fontId="55" fillId="3" borderId="11" xfId="0" applyFont="1" applyFill="1" applyBorder="1"/>
    <xf numFmtId="0" fontId="58" fillId="3" borderId="6" xfId="0" applyFont="1" applyFill="1" applyBorder="1"/>
    <xf numFmtId="0" fontId="59" fillId="3" borderId="6" xfId="0" applyFont="1" applyFill="1" applyBorder="1"/>
    <xf numFmtId="0" fontId="60" fillId="3" borderId="6" xfId="0" applyFont="1" applyFill="1" applyBorder="1"/>
    <xf numFmtId="0" fontId="61" fillId="3" borderId="9" xfId="0" applyFont="1" applyFill="1" applyBorder="1"/>
    <xf numFmtId="0" fontId="2" fillId="0" borderId="0" xfId="1" applyFont="1"/>
    <xf numFmtId="0" fontId="19" fillId="3" borderId="23" xfId="1" applyFont="1" applyFill="1" applyBorder="1" applyAlignment="1">
      <alignment horizontal="left" vertical="center"/>
    </xf>
    <xf numFmtId="0" fontId="19" fillId="3" borderId="6" xfId="1" applyFont="1" applyFill="1" applyBorder="1" applyAlignment="1">
      <alignment horizontal="left" vertical="center"/>
    </xf>
    <xf numFmtId="0" fontId="19" fillId="3" borderId="9" xfId="1" applyFont="1" applyFill="1" applyBorder="1" applyAlignment="1">
      <alignment horizontal="left" vertical="center"/>
    </xf>
    <xf numFmtId="0" fontId="19" fillId="3" borderId="15" xfId="8" applyFont="1" applyFill="1" applyBorder="1" applyAlignment="1">
      <alignment horizontal="left" vertical="center"/>
    </xf>
    <xf numFmtId="0" fontId="19" fillId="3" borderId="6" xfId="8" applyFont="1" applyFill="1" applyBorder="1" applyAlignment="1">
      <alignment horizontal="left" vertical="center"/>
    </xf>
    <xf numFmtId="0" fontId="19" fillId="3" borderId="9" xfId="8" applyFont="1" applyFill="1" applyBorder="1" applyAlignment="1">
      <alignment horizontal="left" vertical="center"/>
    </xf>
    <xf numFmtId="0" fontId="19" fillId="3" borderId="15" xfId="1" applyFont="1" applyFill="1" applyBorder="1" applyAlignment="1">
      <alignment horizontal="left" vertical="center"/>
    </xf>
    <xf numFmtId="0" fontId="19" fillId="3" borderId="27" xfId="1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 wrapText="1"/>
    </xf>
    <xf numFmtId="0" fontId="19" fillId="3" borderId="23" xfId="8" applyFont="1" applyFill="1" applyBorder="1" applyAlignment="1">
      <alignment horizontal="left" vertical="center"/>
    </xf>
    <xf numFmtId="0" fontId="19" fillId="3" borderId="30" xfId="8" applyFont="1" applyFill="1" applyBorder="1" applyAlignment="1">
      <alignment horizontal="left" vertical="center"/>
    </xf>
    <xf numFmtId="2" fontId="1" fillId="3" borderId="8" xfId="1" quotePrefix="1" applyNumberFormat="1" applyFont="1" applyFill="1" applyBorder="1" applyAlignment="1" applyProtection="1">
      <alignment horizontal="center" vertical="center"/>
    </xf>
    <xf numFmtId="167" fontId="41" fillId="0" borderId="7" xfId="1" applyNumberFormat="1" applyFont="1" applyFill="1" applyBorder="1" applyAlignment="1" applyProtection="1">
      <alignment horizontal="center" vertical="center"/>
      <protection locked="0"/>
    </xf>
    <xf numFmtId="2" fontId="33" fillId="0" borderId="16" xfId="1" applyNumberFormat="1" applyFont="1" applyFill="1" applyBorder="1" applyAlignment="1" applyProtection="1">
      <alignment horizontal="center" vertical="center"/>
      <protection locked="0"/>
    </xf>
    <xf numFmtId="2" fontId="33" fillId="0" borderId="7" xfId="1" applyNumberFormat="1" applyFont="1" applyFill="1" applyBorder="1" applyAlignment="1" applyProtection="1">
      <alignment horizontal="center" vertical="center"/>
      <protection locked="0"/>
    </xf>
    <xf numFmtId="2" fontId="33" fillId="0" borderId="10" xfId="1" applyNumberFormat="1" applyFont="1" applyFill="1" applyBorder="1" applyAlignment="1" applyProtection="1">
      <alignment horizontal="center" vertical="center"/>
      <protection locked="0"/>
    </xf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6" fillId="3" borderId="16" xfId="0" applyNumberFormat="1" applyFont="1" applyFill="1" applyBorder="1" applyAlignment="1" applyProtection="1">
      <alignment horizontal="center" vertical="center"/>
    </xf>
    <xf numFmtId="2" fontId="16" fillId="3" borderId="7" xfId="0" applyNumberFormat="1" applyFont="1" applyFill="1" applyBorder="1" applyAlignment="1" applyProtection="1">
      <alignment horizontal="center" vertical="center"/>
    </xf>
    <xf numFmtId="2" fontId="16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8" fillId="3" borderId="3" xfId="1" applyNumberFormat="1" applyFont="1" applyFill="1" applyBorder="1" applyAlignment="1" applyProtection="1">
      <alignment horizontal="center" vertical="center" wrapText="1"/>
    </xf>
    <xf numFmtId="0" fontId="18" fillId="3" borderId="4" xfId="1" applyNumberFormat="1" applyFont="1" applyFill="1" applyBorder="1" applyAlignment="1" applyProtection="1">
      <alignment horizontal="center" vertical="center" wrapText="1"/>
    </xf>
    <xf numFmtId="164" fontId="18" fillId="4" borderId="5" xfId="1" applyNumberFormat="1" applyFont="1" applyFill="1" applyBorder="1" applyAlignment="1" applyProtection="1">
      <alignment horizontal="center" vertical="center"/>
    </xf>
    <xf numFmtId="164" fontId="18" fillId="4" borderId="21" xfId="1" applyNumberFormat="1" applyFont="1" applyFill="1" applyBorder="1" applyAlignment="1" applyProtection="1">
      <alignment horizontal="center" vertical="center"/>
    </xf>
    <xf numFmtId="164" fontId="18" fillId="4" borderId="7" xfId="1" applyNumberFormat="1" applyFont="1" applyFill="1" applyBorder="1" applyAlignment="1" applyProtection="1">
      <alignment horizontal="center" vertical="center"/>
    </xf>
    <xf numFmtId="164" fontId="18" fillId="4" borderId="8" xfId="1" applyNumberFormat="1" applyFont="1" applyFill="1" applyBorder="1" applyAlignment="1" applyProtection="1">
      <alignment horizontal="center" vertical="center"/>
    </xf>
    <xf numFmtId="164" fontId="18" fillId="4" borderId="51" xfId="1" applyNumberFormat="1" applyFont="1" applyFill="1" applyBorder="1" applyAlignment="1" applyProtection="1">
      <alignment horizontal="center" vertical="center"/>
    </xf>
    <xf numFmtId="164" fontId="18" fillId="4" borderId="52" xfId="1" applyNumberFormat="1" applyFont="1" applyFill="1" applyBorder="1" applyAlignment="1" applyProtection="1">
      <alignment horizontal="center" vertical="center"/>
    </xf>
    <xf numFmtId="164" fontId="18" fillId="4" borderId="53" xfId="1" applyNumberFormat="1" applyFont="1" applyFill="1" applyBorder="1" applyAlignment="1" applyProtection="1">
      <alignment horizontal="center" vertical="center"/>
    </xf>
    <xf numFmtId="0" fontId="42" fillId="5" borderId="33" xfId="8" applyFont="1" applyFill="1" applyBorder="1" applyAlignment="1" applyProtection="1">
      <alignment horizontal="center"/>
    </xf>
    <xf numFmtId="0" fontId="42" fillId="5" borderId="32" xfId="8" applyFont="1" applyFill="1" applyBorder="1" applyAlignment="1" applyProtection="1">
      <alignment horizontal="center"/>
    </xf>
    <xf numFmtId="0" fontId="42" fillId="5" borderId="34" xfId="8" applyFont="1" applyFill="1" applyBorder="1" applyAlignment="1" applyProtection="1">
      <alignment horizontal="center"/>
    </xf>
    <xf numFmtId="164" fontId="28" fillId="2" borderId="41" xfId="0" applyNumberFormat="1" applyFont="1" applyFill="1" applyBorder="1" applyAlignment="1">
      <alignment horizontal="center" vertical="center"/>
    </xf>
    <xf numFmtId="164" fontId="45" fillId="2" borderId="41" xfId="0" applyNumberFormat="1" applyFont="1" applyFill="1" applyBorder="1" applyAlignment="1">
      <alignment horizontal="center" vertical="center"/>
    </xf>
    <xf numFmtId="164" fontId="49" fillId="2" borderId="41" xfId="0" applyNumberFormat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0" fontId="18" fillId="2" borderId="43" xfId="1" applyFont="1" applyFill="1" applyBorder="1" applyAlignment="1">
      <alignment horizontal="center" vertical="center"/>
    </xf>
    <xf numFmtId="0" fontId="18" fillId="2" borderId="45" xfId="1" applyFont="1" applyFill="1" applyBorder="1" applyAlignment="1">
      <alignment horizontal="center" vertical="center"/>
    </xf>
    <xf numFmtId="0" fontId="18" fillId="2" borderId="49" xfId="1" applyFont="1" applyFill="1" applyBorder="1" applyAlignment="1">
      <alignment horizontal="center" vertical="center"/>
    </xf>
    <xf numFmtId="164" fontId="28" fillId="2" borderId="43" xfId="0" applyNumberFormat="1" applyFont="1" applyFill="1" applyBorder="1" applyAlignment="1">
      <alignment horizontal="center" vertical="center"/>
    </xf>
    <xf numFmtId="164" fontId="28" fillId="2" borderId="45" xfId="0" applyNumberFormat="1" applyFont="1" applyFill="1" applyBorder="1" applyAlignment="1">
      <alignment horizontal="center" vertical="center"/>
    </xf>
    <xf numFmtId="164" fontId="45" fillId="2" borderId="43" xfId="0" applyNumberFormat="1" applyFont="1" applyFill="1" applyBorder="1" applyAlignment="1">
      <alignment horizontal="center" vertical="center"/>
    </xf>
    <xf numFmtId="164" fontId="45" fillId="2" borderId="45" xfId="0" applyNumberFormat="1" applyFont="1" applyFill="1" applyBorder="1" applyAlignment="1">
      <alignment horizontal="center" vertical="center"/>
    </xf>
    <xf numFmtId="164" fontId="49" fillId="2" borderId="43" xfId="0" applyNumberFormat="1" applyFont="1" applyFill="1" applyBorder="1" applyAlignment="1">
      <alignment horizontal="center" vertical="center"/>
    </xf>
    <xf numFmtId="164" fontId="49" fillId="2" borderId="45" xfId="0" applyNumberFormat="1" applyFont="1" applyFill="1" applyBorder="1" applyAlignment="1">
      <alignment horizontal="center" vertical="center"/>
    </xf>
    <xf numFmtId="0" fontId="18" fillId="10" borderId="43" xfId="1" applyFont="1" applyFill="1" applyBorder="1" applyAlignment="1">
      <alignment horizontal="center" vertical="center"/>
    </xf>
    <xf numFmtId="0" fontId="18" fillId="10" borderId="45" xfId="1" applyFont="1" applyFill="1" applyBorder="1" applyAlignment="1">
      <alignment horizontal="center" vertical="center"/>
    </xf>
    <xf numFmtId="0" fontId="18" fillId="10" borderId="44" xfId="1" applyFont="1" applyFill="1" applyBorder="1" applyAlignment="1">
      <alignment horizontal="center" vertical="center"/>
    </xf>
    <xf numFmtId="164" fontId="28" fillId="10" borderId="43" xfId="0" applyNumberFormat="1" applyFont="1" applyFill="1" applyBorder="1" applyAlignment="1">
      <alignment horizontal="center" vertical="center"/>
    </xf>
    <xf numFmtId="164" fontId="28" fillId="10" borderId="44" xfId="0" applyNumberFormat="1" applyFont="1" applyFill="1" applyBorder="1" applyAlignment="1">
      <alignment horizontal="center" vertical="center"/>
    </xf>
    <xf numFmtId="164" fontId="45" fillId="10" borderId="43" xfId="0" applyNumberFormat="1" applyFont="1" applyFill="1" applyBorder="1" applyAlignment="1">
      <alignment horizontal="center" vertical="center"/>
    </xf>
    <xf numFmtId="164" fontId="45" fillId="10" borderId="44" xfId="0" applyNumberFormat="1" applyFont="1" applyFill="1" applyBorder="1" applyAlignment="1">
      <alignment horizontal="center" vertical="center"/>
    </xf>
    <xf numFmtId="164" fontId="46" fillId="10" borderId="43" xfId="0" applyNumberFormat="1" applyFont="1" applyFill="1" applyBorder="1" applyAlignment="1">
      <alignment horizontal="center" vertical="center"/>
    </xf>
    <xf numFmtId="164" fontId="46" fillId="10" borderId="44" xfId="0" applyNumberFormat="1" applyFont="1" applyFill="1" applyBorder="1" applyAlignment="1">
      <alignment horizontal="center" vertical="center"/>
    </xf>
    <xf numFmtId="0" fontId="18" fillId="9" borderId="43" xfId="1" applyFont="1" applyFill="1" applyBorder="1" applyAlignment="1">
      <alignment horizontal="center" vertical="center"/>
    </xf>
    <xf numFmtId="0" fontId="18" fillId="9" borderId="44" xfId="1" applyFont="1" applyFill="1" applyBorder="1" applyAlignment="1">
      <alignment horizontal="center" vertical="center"/>
    </xf>
    <xf numFmtId="164" fontId="45" fillId="9" borderId="43" xfId="0" applyNumberFormat="1" applyFont="1" applyFill="1" applyBorder="1" applyAlignment="1">
      <alignment horizontal="center" vertical="center"/>
    </xf>
    <xf numFmtId="164" fontId="45" fillId="9" borderId="44" xfId="0" applyNumberFormat="1" applyFont="1" applyFill="1" applyBorder="1" applyAlignment="1">
      <alignment horizontal="center" vertical="center"/>
    </xf>
    <xf numFmtId="164" fontId="46" fillId="9" borderId="43" xfId="0" applyNumberFormat="1" applyFont="1" applyFill="1" applyBorder="1" applyAlignment="1">
      <alignment horizontal="center" vertical="center"/>
    </xf>
    <xf numFmtId="164" fontId="46" fillId="9" borderId="44" xfId="0" applyNumberFormat="1" applyFont="1" applyFill="1" applyBorder="1" applyAlignment="1">
      <alignment horizontal="center" vertical="center"/>
    </xf>
    <xf numFmtId="0" fontId="18" fillId="3" borderId="41" xfId="1" applyFont="1" applyFill="1" applyBorder="1" applyAlignment="1">
      <alignment horizontal="center" vertical="center"/>
    </xf>
    <xf numFmtId="164" fontId="45" fillId="3" borderId="41" xfId="0" applyNumberFormat="1" applyFont="1" applyFill="1" applyBorder="1" applyAlignment="1">
      <alignment horizontal="center" vertical="center"/>
    </xf>
    <xf numFmtId="0" fontId="18" fillId="9" borderId="45" xfId="1" applyFont="1" applyFill="1" applyBorder="1" applyAlignment="1">
      <alignment horizontal="center" vertical="center"/>
    </xf>
    <xf numFmtId="164" fontId="28" fillId="9" borderId="43" xfId="0" applyNumberFormat="1" applyFont="1" applyFill="1" applyBorder="1" applyAlignment="1">
      <alignment horizontal="center" vertical="center"/>
    </xf>
    <xf numFmtId="164" fontId="28" fillId="9" borderId="44" xfId="0" applyNumberFormat="1" applyFont="1" applyFill="1" applyBorder="1" applyAlignment="1">
      <alignment horizontal="center" vertical="center"/>
    </xf>
    <xf numFmtId="0" fontId="18" fillId="3" borderId="43" xfId="1" applyFont="1" applyFill="1" applyBorder="1" applyAlignment="1">
      <alignment horizontal="center" vertical="center"/>
    </xf>
    <xf numFmtId="0" fontId="18" fillId="3" borderId="45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48" fillId="3" borderId="43" xfId="1" applyNumberFormat="1" applyFont="1" applyFill="1" applyBorder="1" applyAlignment="1">
      <alignment horizontal="center" vertical="center" wrapText="1"/>
    </xf>
    <xf numFmtId="0" fontId="48" fillId="3" borderId="45" xfId="1" applyNumberFormat="1" applyFont="1" applyFill="1" applyBorder="1" applyAlignment="1">
      <alignment horizontal="center" vertical="center" wrapText="1"/>
    </xf>
    <xf numFmtId="0" fontId="48" fillId="3" borderId="44" xfId="1" applyNumberFormat="1" applyFont="1" applyFill="1" applyBorder="1" applyAlignment="1">
      <alignment horizontal="center" vertical="center" wrapText="1"/>
    </xf>
    <xf numFmtId="0" fontId="47" fillId="3" borderId="43" xfId="1" applyNumberFormat="1" applyFont="1" applyFill="1" applyBorder="1" applyAlignment="1">
      <alignment horizontal="center" vertical="center" wrapText="1"/>
    </xf>
    <xf numFmtId="0" fontId="47" fillId="3" borderId="45" xfId="1" applyNumberFormat="1" applyFont="1" applyFill="1" applyBorder="1" applyAlignment="1">
      <alignment horizontal="center" vertical="center" wrapText="1"/>
    </xf>
    <xf numFmtId="0" fontId="47" fillId="3" borderId="44" xfId="1" applyNumberFormat="1" applyFont="1" applyFill="1" applyBorder="1" applyAlignment="1">
      <alignment horizontal="center" vertical="center" wrapText="1"/>
    </xf>
    <xf numFmtId="164" fontId="49" fillId="3" borderId="41" xfId="0" applyNumberFormat="1" applyFont="1" applyFill="1" applyBorder="1" applyAlignment="1">
      <alignment horizontal="center" vertical="center"/>
    </xf>
    <xf numFmtId="164" fontId="49" fillId="3" borderId="43" xfId="0" applyNumberFormat="1" applyFont="1" applyFill="1" applyBorder="1" applyAlignment="1">
      <alignment horizontal="center" vertical="center"/>
    </xf>
    <xf numFmtId="164" fontId="49" fillId="3" borderId="45" xfId="0" applyNumberFormat="1" applyFont="1" applyFill="1" applyBorder="1" applyAlignment="1">
      <alignment horizontal="center" vertical="center"/>
    </xf>
    <xf numFmtId="164" fontId="45" fillId="3" borderId="43" xfId="0" applyNumberFormat="1" applyFont="1" applyFill="1" applyBorder="1" applyAlignment="1">
      <alignment horizontal="center" vertical="center"/>
    </xf>
    <xf numFmtId="164" fontId="45" fillId="3" borderId="45" xfId="0" applyNumberFormat="1" applyFont="1" applyFill="1" applyBorder="1" applyAlignment="1">
      <alignment horizontal="center" vertical="center"/>
    </xf>
    <xf numFmtId="164" fontId="28" fillId="3" borderId="43" xfId="0" applyNumberFormat="1" applyFont="1" applyFill="1" applyBorder="1" applyAlignment="1">
      <alignment horizontal="center" vertical="center"/>
    </xf>
    <xf numFmtId="164" fontId="28" fillId="3" borderId="45" xfId="0" applyNumberFormat="1" applyFont="1" applyFill="1" applyBorder="1" applyAlignment="1">
      <alignment horizontal="center" vertical="center"/>
    </xf>
    <xf numFmtId="164" fontId="28" fillId="3" borderId="41" xfId="0" applyNumberFormat="1" applyFont="1" applyFill="1" applyBorder="1" applyAlignment="1">
      <alignment horizontal="center" vertical="center"/>
    </xf>
  </cellXfs>
  <cellStyles count="54">
    <cellStyle name="Hyperlink" xfId="53" builtinId="8"/>
    <cellStyle name="Normal" xfId="0" builtinId="0"/>
    <cellStyle name="Normal 10" xfId="21" xr:uid="{00000000-0005-0000-0000-000002000000}"/>
    <cellStyle name="Normal 10 2" xfId="33" xr:uid="{00000000-0005-0000-0000-000003000000}"/>
    <cellStyle name="Normal 10 3" xfId="35" xr:uid="{00000000-0005-0000-0000-000004000000}"/>
    <cellStyle name="Normal 11" xfId="24" xr:uid="{00000000-0005-0000-0000-000005000000}"/>
    <cellStyle name="Normal 11 2" xfId="29" xr:uid="{00000000-0005-0000-0000-000006000000}"/>
    <cellStyle name="Normal 11 2 2" xfId="36" xr:uid="{00000000-0005-0000-0000-000007000000}"/>
    <cellStyle name="Normal 12" xfId="28" xr:uid="{00000000-0005-0000-0000-000008000000}"/>
    <cellStyle name="Normal 13" xfId="32" xr:uid="{00000000-0005-0000-0000-000009000000}"/>
    <cellStyle name="Normal 14" xfId="34" xr:uid="{00000000-0005-0000-0000-00000A000000}"/>
    <cellStyle name="Normal 2" xfId="2" xr:uid="{00000000-0005-0000-0000-00000B000000}"/>
    <cellStyle name="Normál 2" xfId="16" xr:uid="{00000000-0005-0000-0000-00000C000000}"/>
    <cellStyle name="Normal 2 10" xfId="6" xr:uid="{00000000-0005-0000-0000-00000D000000}"/>
    <cellStyle name="Normal 2 11" xfId="42" xr:uid="{00000000-0005-0000-0000-00000E000000}"/>
    <cellStyle name="Normal 2 12" xfId="44" xr:uid="{00000000-0005-0000-0000-00000F000000}"/>
    <cellStyle name="Normal 2 13" xfId="46" xr:uid="{00000000-0005-0000-0000-000010000000}"/>
    <cellStyle name="Normal 2 14" xfId="43" xr:uid="{00000000-0005-0000-0000-000011000000}"/>
    <cellStyle name="Normal 2 15" xfId="48" xr:uid="{00000000-0005-0000-0000-000012000000}"/>
    <cellStyle name="Normal 2 16" xfId="4" xr:uid="{00000000-0005-0000-0000-000013000000}"/>
    <cellStyle name="Normal 2 17" xfId="45" xr:uid="{00000000-0005-0000-0000-000014000000}"/>
    <cellStyle name="Normal 2 18" xfId="50" xr:uid="{00000000-0005-0000-0000-000015000000}"/>
    <cellStyle name="Normal 2 19" xfId="49" xr:uid="{00000000-0005-0000-0000-000016000000}"/>
    <cellStyle name="Normal 2 2" xfId="11" xr:uid="{00000000-0005-0000-0000-000017000000}"/>
    <cellStyle name="Normal 2 20" xfId="47" xr:uid="{00000000-0005-0000-0000-000018000000}"/>
    <cellStyle name="Normal 2 21" xfId="51" xr:uid="{00000000-0005-0000-0000-000019000000}"/>
    <cellStyle name="Normal 2 22" xfId="52" xr:uid="{00000000-0005-0000-0000-00001A000000}"/>
    <cellStyle name="Normal 2 3" xfId="27" xr:uid="{00000000-0005-0000-0000-00001B000000}"/>
    <cellStyle name="Normal 2 4" xfId="9" xr:uid="{00000000-0005-0000-0000-00001C000000}"/>
    <cellStyle name="Normal 2 5" xfId="10" xr:uid="{00000000-0005-0000-0000-00001D000000}"/>
    <cellStyle name="Normal 2 6" xfId="18" xr:uid="{00000000-0005-0000-0000-00001E000000}"/>
    <cellStyle name="Normal 2 7" xfId="40" xr:uid="{00000000-0005-0000-0000-00001F000000}"/>
    <cellStyle name="Normal 2 8" xfId="39" xr:uid="{00000000-0005-0000-0000-000020000000}"/>
    <cellStyle name="Normal 2 9" xfId="41" xr:uid="{00000000-0005-0000-0000-000021000000}"/>
    <cellStyle name="Normal 3" xfId="1" xr:uid="{00000000-0005-0000-0000-000022000000}"/>
    <cellStyle name="Normal 3 2" xfId="8" xr:uid="{00000000-0005-0000-0000-000023000000}"/>
    <cellStyle name="Normal 3 3" xfId="22" xr:uid="{00000000-0005-0000-0000-000024000000}"/>
    <cellStyle name="Normal 3 4" xfId="25" xr:uid="{00000000-0005-0000-0000-000025000000}"/>
    <cellStyle name="Normal 3 5" xfId="30" xr:uid="{00000000-0005-0000-0000-000026000000}"/>
    <cellStyle name="Normal 3 5 2" xfId="37" xr:uid="{00000000-0005-0000-0000-000027000000}"/>
    <cellStyle name="Normal 3 6" xfId="5" xr:uid="{00000000-0005-0000-0000-000028000000}"/>
    <cellStyle name="Normal 4" xfId="7" xr:uid="{00000000-0005-0000-0000-000029000000}"/>
    <cellStyle name="Normal 4 2" xfId="13" xr:uid="{00000000-0005-0000-0000-00002A000000}"/>
    <cellStyle name="Normal 4 3" xfId="19" xr:uid="{00000000-0005-0000-0000-00002B000000}"/>
    <cellStyle name="Normal 4 4" xfId="23" xr:uid="{00000000-0005-0000-0000-00002C000000}"/>
    <cellStyle name="Normal 4 5" xfId="26" xr:uid="{00000000-0005-0000-0000-00002D000000}"/>
    <cellStyle name="Normal 4 6" xfId="31" xr:uid="{00000000-0005-0000-0000-00002E000000}"/>
    <cellStyle name="Normal 4 6 2" xfId="38" xr:uid="{00000000-0005-0000-0000-00002F000000}"/>
    <cellStyle name="Normal 5" xfId="12" xr:uid="{00000000-0005-0000-0000-000030000000}"/>
    <cellStyle name="Normal 6" xfId="14" xr:uid="{00000000-0005-0000-0000-000031000000}"/>
    <cellStyle name="Normal 7" xfId="15" xr:uid="{00000000-0005-0000-0000-000032000000}"/>
    <cellStyle name="Normal 8" xfId="17" xr:uid="{00000000-0005-0000-0000-000033000000}"/>
    <cellStyle name="Normal 9" xfId="20" xr:uid="{00000000-0005-0000-0000-000034000000}"/>
    <cellStyle name="Percent" xfId="3" builtinId="5"/>
  </cellStyles>
  <dxfs count="16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A61-A25E-1F2BA18F5D45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A61-A25E-1F2BA18F5D45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A61-A25E-1F2BA18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44904"/>
        <c:axId val="545145296"/>
      </c:scatterChart>
      <c:valAx>
        <c:axId val="545144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5296"/>
        <c:crosses val="autoZero"/>
        <c:crossBetween val="midCat"/>
      </c:valAx>
      <c:valAx>
        <c:axId val="5451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'Birthday Cake'!$D$5:$D$6</c:f>
              <c:strCache>
                <c:ptCount val="2"/>
                <c:pt idx="0">
                  <c:v>Q</c:v>
                </c:pt>
                <c:pt idx="1">
                  <c:v>m3/d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'Birthday Cake'!$C$7:$C$390</c:f>
              <c:numCache>
                <c:formatCode>0.0</c:formatCode>
                <c:ptCount val="3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</c:numCache>
            </c:numRef>
          </c:xVal>
          <c:yVal>
            <c:numRef>
              <c:f>'Birthday Cake'!$D$7:$D$390</c:f>
              <c:numCache>
                <c:formatCode>0.000</c:formatCode>
                <c:ptCount val="384"/>
                <c:pt idx="0">
                  <c:v>23084.501766452362</c:v>
                </c:pt>
                <c:pt idx="1">
                  <c:v>21581.12901037894</c:v>
                </c:pt>
                <c:pt idx="2">
                  <c:v>20112.819366718602</c:v>
                </c:pt>
                <c:pt idx="3">
                  <c:v>19006.413031923323</c:v>
                </c:pt>
                <c:pt idx="4">
                  <c:v>18538.096454420363</c:v>
                </c:pt>
                <c:pt idx="5">
                  <c:v>18860.78005443911</c:v>
                </c:pt>
                <c:pt idx="6">
                  <c:v>19961.257006652133</c:v>
                </c:pt>
                <c:pt idx="7">
                  <c:v>21658.749724059624</c:v>
                </c:pt>
                <c:pt idx="8">
                  <c:v>23645.573726829716</c:v>
                </c:pt>
                <c:pt idx="9">
                  <c:v>25559.552921822593</c:v>
                </c:pt>
                <c:pt idx="10">
                  <c:v>27069.466104765779</c:v>
                </c:pt>
                <c:pt idx="11">
                  <c:v>27951.419768088908</c:v>
                </c:pt>
                <c:pt idx="12">
                  <c:v>28136.526698379879</c:v>
                </c:pt>
                <c:pt idx="13">
                  <c:v>27717.95406557366</c:v>
                </c:pt>
                <c:pt idx="14">
                  <c:v>26916.230059251931</c:v>
                </c:pt>
                <c:pt idx="15">
                  <c:v>26012.768166266866</c:v>
                </c:pt>
                <c:pt idx="16">
                  <c:v>25269.924506717929</c:v>
                </c:pt>
                <c:pt idx="17">
                  <c:v>24859.318067798482</c:v>
                </c:pt>
                <c:pt idx="18">
                  <c:v>24817.714528515637</c:v>
                </c:pt>
                <c:pt idx="19">
                  <c:v>25042.16719998778</c:v>
                </c:pt>
                <c:pt idx="20">
                  <c:v>25325.376847199761</c:v>
                </c:pt>
                <c:pt idx="21">
                  <c:v>25421.265879987212</c:v>
                </c:pt>
                <c:pt idx="22">
                  <c:v>25122.51293409591</c:v>
                </c:pt>
                <c:pt idx="23">
                  <c:v>24328.48210967347</c:v>
                </c:pt>
                <c:pt idx="24">
                  <c:v>23084.501766452362</c:v>
                </c:pt>
                <c:pt idx="25">
                  <c:v>21581.12901037894</c:v>
                </c:pt>
                <c:pt idx="26">
                  <c:v>20112.819366718602</c:v>
                </c:pt>
                <c:pt idx="27">
                  <c:v>19006.413031923323</c:v>
                </c:pt>
                <c:pt idx="28">
                  <c:v>18538.096454420363</c:v>
                </c:pt>
                <c:pt idx="29">
                  <c:v>18860.78005443911</c:v>
                </c:pt>
                <c:pt idx="30">
                  <c:v>19961.257006652133</c:v>
                </c:pt>
                <c:pt idx="31">
                  <c:v>21658.749724059624</c:v>
                </c:pt>
                <c:pt idx="32">
                  <c:v>23645.573726829716</c:v>
                </c:pt>
                <c:pt idx="33">
                  <c:v>25559.552921822593</c:v>
                </c:pt>
                <c:pt idx="34">
                  <c:v>27069.466104765779</c:v>
                </c:pt>
                <c:pt idx="35">
                  <c:v>27951.419768088908</c:v>
                </c:pt>
                <c:pt idx="36">
                  <c:v>28136.526698379879</c:v>
                </c:pt>
                <c:pt idx="37">
                  <c:v>27717.95406557366</c:v>
                </c:pt>
                <c:pt idx="38">
                  <c:v>26916.230059251931</c:v>
                </c:pt>
                <c:pt idx="39">
                  <c:v>26012.768166266866</c:v>
                </c:pt>
                <c:pt idx="40">
                  <c:v>25269.924506717929</c:v>
                </c:pt>
                <c:pt idx="41">
                  <c:v>24859.318067798482</c:v>
                </c:pt>
                <c:pt idx="42">
                  <c:v>24817.714528515637</c:v>
                </c:pt>
                <c:pt idx="43">
                  <c:v>25042.16719998778</c:v>
                </c:pt>
                <c:pt idx="44">
                  <c:v>25325.376847199761</c:v>
                </c:pt>
                <c:pt idx="45">
                  <c:v>25421.265879987212</c:v>
                </c:pt>
                <c:pt idx="46">
                  <c:v>25122.51293409591</c:v>
                </c:pt>
                <c:pt idx="47">
                  <c:v>24328.48210967347</c:v>
                </c:pt>
                <c:pt idx="48">
                  <c:v>23084.501766452362</c:v>
                </c:pt>
                <c:pt idx="49">
                  <c:v>21581.12901037894</c:v>
                </c:pt>
                <c:pt idx="50">
                  <c:v>20112.819366718602</c:v>
                </c:pt>
                <c:pt idx="51">
                  <c:v>19006.413031923323</c:v>
                </c:pt>
                <c:pt idx="52">
                  <c:v>18538.096454420363</c:v>
                </c:pt>
                <c:pt idx="53">
                  <c:v>18860.78005443911</c:v>
                </c:pt>
                <c:pt idx="54">
                  <c:v>19961.257006652133</c:v>
                </c:pt>
                <c:pt idx="55">
                  <c:v>21658.749724059624</c:v>
                </c:pt>
                <c:pt idx="56">
                  <c:v>23645.573726829716</c:v>
                </c:pt>
                <c:pt idx="57">
                  <c:v>25559.552921822593</c:v>
                </c:pt>
                <c:pt idx="58">
                  <c:v>27069.466104765779</c:v>
                </c:pt>
                <c:pt idx="59">
                  <c:v>27951.419768088908</c:v>
                </c:pt>
                <c:pt idx="60">
                  <c:v>28136.526698379879</c:v>
                </c:pt>
                <c:pt idx="61">
                  <c:v>27717.95406557366</c:v>
                </c:pt>
                <c:pt idx="62">
                  <c:v>26916.230059251931</c:v>
                </c:pt>
                <c:pt idx="63">
                  <c:v>26012.768166266866</c:v>
                </c:pt>
                <c:pt idx="64">
                  <c:v>25269.924506717929</c:v>
                </c:pt>
                <c:pt idx="65">
                  <c:v>24859.318067798482</c:v>
                </c:pt>
                <c:pt idx="66">
                  <c:v>24817.714528515637</c:v>
                </c:pt>
                <c:pt idx="67">
                  <c:v>25042.16719998778</c:v>
                </c:pt>
                <c:pt idx="68">
                  <c:v>25325.376847199761</c:v>
                </c:pt>
                <c:pt idx="69">
                  <c:v>25421.265879987212</c:v>
                </c:pt>
                <c:pt idx="70">
                  <c:v>25122.51293409591</c:v>
                </c:pt>
                <c:pt idx="71">
                  <c:v>24328.48210967347</c:v>
                </c:pt>
                <c:pt idx="72">
                  <c:v>46169.003532904724</c:v>
                </c:pt>
                <c:pt idx="73">
                  <c:v>43162.258020757879</c:v>
                </c:pt>
                <c:pt idx="74">
                  <c:v>40225.638733437205</c:v>
                </c:pt>
                <c:pt idx="75">
                  <c:v>38012.826063846645</c:v>
                </c:pt>
                <c:pt idx="76">
                  <c:v>37076.192908840727</c:v>
                </c:pt>
                <c:pt idx="77">
                  <c:v>37721.56010887822</c:v>
                </c:pt>
                <c:pt idx="78">
                  <c:v>39922.514013304266</c:v>
                </c:pt>
                <c:pt idx="79">
                  <c:v>43317.499448119248</c:v>
                </c:pt>
                <c:pt idx="80">
                  <c:v>47291.147453659432</c:v>
                </c:pt>
                <c:pt idx="81">
                  <c:v>51119.105843645186</c:v>
                </c:pt>
                <c:pt idx="82">
                  <c:v>54138.932209531558</c:v>
                </c:pt>
                <c:pt idx="83">
                  <c:v>55902.839536177817</c:v>
                </c:pt>
                <c:pt idx="84">
                  <c:v>56273.053396759758</c:v>
                </c:pt>
                <c:pt idx="85">
                  <c:v>55435.90813114732</c:v>
                </c:pt>
                <c:pt idx="86">
                  <c:v>53832.460118503863</c:v>
                </c:pt>
                <c:pt idx="87">
                  <c:v>52025.536332533731</c:v>
                </c:pt>
                <c:pt idx="88">
                  <c:v>50539.849013435858</c:v>
                </c:pt>
                <c:pt idx="89">
                  <c:v>49718.636135596964</c:v>
                </c:pt>
                <c:pt idx="90">
                  <c:v>49635.429057031273</c:v>
                </c:pt>
                <c:pt idx="91">
                  <c:v>50084.33439997556</c:v>
                </c:pt>
                <c:pt idx="92">
                  <c:v>50650.753694399522</c:v>
                </c:pt>
                <c:pt idx="93">
                  <c:v>50842.531759974423</c:v>
                </c:pt>
                <c:pt idx="94">
                  <c:v>50245.02586819182</c:v>
                </c:pt>
                <c:pt idx="95">
                  <c:v>48656.964219346941</c:v>
                </c:pt>
                <c:pt idx="96">
                  <c:v>46169.003532904724</c:v>
                </c:pt>
                <c:pt idx="97">
                  <c:v>43162.258020757879</c:v>
                </c:pt>
                <c:pt idx="98">
                  <c:v>40225.638733437205</c:v>
                </c:pt>
                <c:pt idx="99">
                  <c:v>38012.826063846645</c:v>
                </c:pt>
                <c:pt idx="100">
                  <c:v>37076.192908840727</c:v>
                </c:pt>
                <c:pt idx="101">
                  <c:v>37721.56010887822</c:v>
                </c:pt>
                <c:pt idx="102">
                  <c:v>39922.514013304266</c:v>
                </c:pt>
                <c:pt idx="103">
                  <c:v>43317.499448119248</c:v>
                </c:pt>
                <c:pt idx="104">
                  <c:v>47291.147453659432</c:v>
                </c:pt>
                <c:pt idx="105">
                  <c:v>51119.105843645186</c:v>
                </c:pt>
                <c:pt idx="106">
                  <c:v>54138.932209531558</c:v>
                </c:pt>
                <c:pt idx="107">
                  <c:v>55902.839536177817</c:v>
                </c:pt>
                <c:pt idx="108">
                  <c:v>56273.053396759758</c:v>
                </c:pt>
                <c:pt idx="109">
                  <c:v>55435.90813114732</c:v>
                </c:pt>
                <c:pt idx="110">
                  <c:v>53832.460118503863</c:v>
                </c:pt>
                <c:pt idx="111">
                  <c:v>52025.536332533731</c:v>
                </c:pt>
                <c:pt idx="112">
                  <c:v>50539.849013435858</c:v>
                </c:pt>
                <c:pt idx="113">
                  <c:v>49718.636135596964</c:v>
                </c:pt>
                <c:pt idx="114">
                  <c:v>49635.429057031273</c:v>
                </c:pt>
                <c:pt idx="115">
                  <c:v>50084.33439997556</c:v>
                </c:pt>
                <c:pt idx="116">
                  <c:v>50650.753694399522</c:v>
                </c:pt>
                <c:pt idx="117">
                  <c:v>50842.531759974423</c:v>
                </c:pt>
                <c:pt idx="118">
                  <c:v>50245.02586819182</c:v>
                </c:pt>
                <c:pt idx="119">
                  <c:v>48656.964219346941</c:v>
                </c:pt>
                <c:pt idx="120">
                  <c:v>46169.003532904724</c:v>
                </c:pt>
                <c:pt idx="121">
                  <c:v>43162.258020757879</c:v>
                </c:pt>
                <c:pt idx="122">
                  <c:v>40225.638733437205</c:v>
                </c:pt>
                <c:pt idx="123">
                  <c:v>38012.826063846645</c:v>
                </c:pt>
                <c:pt idx="124">
                  <c:v>37076.192908840727</c:v>
                </c:pt>
                <c:pt idx="125">
                  <c:v>37721.56010887822</c:v>
                </c:pt>
                <c:pt idx="126">
                  <c:v>39922.514013304266</c:v>
                </c:pt>
                <c:pt idx="127">
                  <c:v>43317.499448119248</c:v>
                </c:pt>
                <c:pt idx="128">
                  <c:v>47291.147453659432</c:v>
                </c:pt>
                <c:pt idx="129">
                  <c:v>51119.105843645186</c:v>
                </c:pt>
                <c:pt idx="130">
                  <c:v>54138.932209531558</c:v>
                </c:pt>
                <c:pt idx="131">
                  <c:v>55902.839536177817</c:v>
                </c:pt>
                <c:pt idx="132">
                  <c:v>56273.053396759758</c:v>
                </c:pt>
                <c:pt idx="133">
                  <c:v>55435.90813114732</c:v>
                </c:pt>
                <c:pt idx="134">
                  <c:v>53832.460118503863</c:v>
                </c:pt>
                <c:pt idx="135">
                  <c:v>52025.536332533731</c:v>
                </c:pt>
                <c:pt idx="136">
                  <c:v>50539.849013435858</c:v>
                </c:pt>
                <c:pt idx="137">
                  <c:v>49718.636135596964</c:v>
                </c:pt>
                <c:pt idx="138">
                  <c:v>49635.429057031273</c:v>
                </c:pt>
                <c:pt idx="139">
                  <c:v>50084.33439997556</c:v>
                </c:pt>
                <c:pt idx="140">
                  <c:v>50650.753694399522</c:v>
                </c:pt>
                <c:pt idx="141">
                  <c:v>50842.531759974423</c:v>
                </c:pt>
                <c:pt idx="142">
                  <c:v>50245.02586819182</c:v>
                </c:pt>
                <c:pt idx="143">
                  <c:v>48656.964219346941</c:v>
                </c:pt>
                <c:pt idx="144">
                  <c:v>46169.003532904724</c:v>
                </c:pt>
                <c:pt idx="145">
                  <c:v>43162.258020757879</c:v>
                </c:pt>
                <c:pt idx="146">
                  <c:v>40225.638733437205</c:v>
                </c:pt>
                <c:pt idx="147">
                  <c:v>38012.826063846645</c:v>
                </c:pt>
                <c:pt idx="148">
                  <c:v>37076.192908840727</c:v>
                </c:pt>
                <c:pt idx="149">
                  <c:v>37721.56010887822</c:v>
                </c:pt>
                <c:pt idx="150">
                  <c:v>39922.514013304266</c:v>
                </c:pt>
                <c:pt idx="151">
                  <c:v>43317.499448119248</c:v>
                </c:pt>
                <c:pt idx="152">
                  <c:v>47291.147453659432</c:v>
                </c:pt>
                <c:pt idx="153">
                  <c:v>51119.105843645186</c:v>
                </c:pt>
                <c:pt idx="154">
                  <c:v>54138.932209531558</c:v>
                </c:pt>
                <c:pt idx="155">
                  <c:v>55902.839536177817</c:v>
                </c:pt>
                <c:pt idx="156">
                  <c:v>56273.053396759758</c:v>
                </c:pt>
                <c:pt idx="157">
                  <c:v>55435.90813114732</c:v>
                </c:pt>
                <c:pt idx="158">
                  <c:v>53832.460118503863</c:v>
                </c:pt>
                <c:pt idx="159">
                  <c:v>52025.536332533731</c:v>
                </c:pt>
                <c:pt idx="160">
                  <c:v>50539.849013435858</c:v>
                </c:pt>
                <c:pt idx="161">
                  <c:v>49718.636135596964</c:v>
                </c:pt>
                <c:pt idx="162">
                  <c:v>49635.429057031273</c:v>
                </c:pt>
                <c:pt idx="163">
                  <c:v>50084.33439997556</c:v>
                </c:pt>
                <c:pt idx="164">
                  <c:v>50650.753694399522</c:v>
                </c:pt>
                <c:pt idx="165">
                  <c:v>50842.531759974423</c:v>
                </c:pt>
                <c:pt idx="166">
                  <c:v>50245.02586819182</c:v>
                </c:pt>
                <c:pt idx="167">
                  <c:v>48656.964219346941</c:v>
                </c:pt>
                <c:pt idx="168">
                  <c:v>92338.007065809448</c:v>
                </c:pt>
                <c:pt idx="169">
                  <c:v>86324.516041515759</c:v>
                </c:pt>
                <c:pt idx="170">
                  <c:v>80451.27746687441</c:v>
                </c:pt>
                <c:pt idx="171">
                  <c:v>76025.652127693291</c:v>
                </c:pt>
                <c:pt idx="172">
                  <c:v>74152.385817681454</c:v>
                </c:pt>
                <c:pt idx="173">
                  <c:v>75443.120217756441</c:v>
                </c:pt>
                <c:pt idx="174">
                  <c:v>79845.028026608532</c:v>
                </c:pt>
                <c:pt idx="175">
                  <c:v>86634.998896238496</c:v>
                </c:pt>
                <c:pt idx="176">
                  <c:v>94582.294907318865</c:v>
                </c:pt>
                <c:pt idx="177">
                  <c:v>102238.21168729037</c:v>
                </c:pt>
                <c:pt idx="178">
                  <c:v>108277.86441906312</c:v>
                </c:pt>
                <c:pt idx="179">
                  <c:v>111805.67907235563</c:v>
                </c:pt>
                <c:pt idx="180">
                  <c:v>112546.10679351952</c:v>
                </c:pt>
                <c:pt idx="181">
                  <c:v>110871.81626229464</c:v>
                </c:pt>
                <c:pt idx="182">
                  <c:v>107664.92023700773</c:v>
                </c:pt>
                <c:pt idx="183">
                  <c:v>104051.07266506746</c:v>
                </c:pt>
                <c:pt idx="184">
                  <c:v>101079.69802687172</c:v>
                </c:pt>
                <c:pt idx="185">
                  <c:v>99437.272271193928</c:v>
                </c:pt>
                <c:pt idx="186">
                  <c:v>99270.858114062547</c:v>
                </c:pt>
                <c:pt idx="187">
                  <c:v>100168.66879995112</c:v>
                </c:pt>
                <c:pt idx="188">
                  <c:v>101301.50738879904</c:v>
                </c:pt>
                <c:pt idx="189">
                  <c:v>101685.06351994885</c:v>
                </c:pt>
                <c:pt idx="190">
                  <c:v>100490.05173638364</c:v>
                </c:pt>
                <c:pt idx="191">
                  <c:v>97313.928438693882</c:v>
                </c:pt>
                <c:pt idx="192">
                  <c:v>46169.003532904724</c:v>
                </c:pt>
                <c:pt idx="193">
                  <c:v>43162.258020757879</c:v>
                </c:pt>
                <c:pt idx="194">
                  <c:v>40225.638733437205</c:v>
                </c:pt>
                <c:pt idx="195">
                  <c:v>38012.826063846645</c:v>
                </c:pt>
                <c:pt idx="196">
                  <c:v>37076.192908840727</c:v>
                </c:pt>
                <c:pt idx="197">
                  <c:v>37721.56010887822</c:v>
                </c:pt>
                <c:pt idx="198">
                  <c:v>39922.514013304266</c:v>
                </c:pt>
                <c:pt idx="199">
                  <c:v>43317.499448119248</c:v>
                </c:pt>
                <c:pt idx="200">
                  <c:v>47291.147453659432</c:v>
                </c:pt>
                <c:pt idx="201">
                  <c:v>51119.105843645186</c:v>
                </c:pt>
                <c:pt idx="202">
                  <c:v>54138.932209531558</c:v>
                </c:pt>
                <c:pt idx="203">
                  <c:v>55902.839536177817</c:v>
                </c:pt>
                <c:pt idx="204">
                  <c:v>56273.053396759758</c:v>
                </c:pt>
                <c:pt idx="205">
                  <c:v>55435.90813114732</c:v>
                </c:pt>
                <c:pt idx="206">
                  <c:v>53832.460118503863</c:v>
                </c:pt>
                <c:pt idx="207">
                  <c:v>52025.536332533731</c:v>
                </c:pt>
                <c:pt idx="208">
                  <c:v>50539.849013435858</c:v>
                </c:pt>
                <c:pt idx="209">
                  <c:v>49718.636135596964</c:v>
                </c:pt>
                <c:pt idx="210">
                  <c:v>49635.429057031273</c:v>
                </c:pt>
                <c:pt idx="211">
                  <c:v>50084.33439997556</c:v>
                </c:pt>
                <c:pt idx="212">
                  <c:v>50650.753694399522</c:v>
                </c:pt>
                <c:pt idx="213">
                  <c:v>50842.531759974423</c:v>
                </c:pt>
                <c:pt idx="214">
                  <c:v>50245.02586819182</c:v>
                </c:pt>
                <c:pt idx="215">
                  <c:v>48656.964219346941</c:v>
                </c:pt>
                <c:pt idx="216">
                  <c:v>46169.003532904724</c:v>
                </c:pt>
                <c:pt idx="217">
                  <c:v>43162.258020757879</c:v>
                </c:pt>
                <c:pt idx="218">
                  <c:v>40225.638733437205</c:v>
                </c:pt>
                <c:pt idx="219">
                  <c:v>38012.826063846645</c:v>
                </c:pt>
                <c:pt idx="220">
                  <c:v>37076.192908840727</c:v>
                </c:pt>
                <c:pt idx="221">
                  <c:v>37721.56010887822</c:v>
                </c:pt>
                <c:pt idx="222">
                  <c:v>39922.514013304266</c:v>
                </c:pt>
                <c:pt idx="223">
                  <c:v>43317.499448119248</c:v>
                </c:pt>
                <c:pt idx="224">
                  <c:v>47291.147453659432</c:v>
                </c:pt>
                <c:pt idx="225">
                  <c:v>51119.105843645186</c:v>
                </c:pt>
                <c:pt idx="226">
                  <c:v>54138.932209531558</c:v>
                </c:pt>
                <c:pt idx="227">
                  <c:v>55902.839536177817</c:v>
                </c:pt>
                <c:pt idx="228">
                  <c:v>56273.053396759758</c:v>
                </c:pt>
                <c:pt idx="229">
                  <c:v>55435.90813114732</c:v>
                </c:pt>
                <c:pt idx="230">
                  <c:v>53832.460118503863</c:v>
                </c:pt>
                <c:pt idx="231">
                  <c:v>52025.536332533731</c:v>
                </c:pt>
                <c:pt idx="232">
                  <c:v>50539.849013435858</c:v>
                </c:pt>
                <c:pt idx="233">
                  <c:v>49718.636135596964</c:v>
                </c:pt>
                <c:pt idx="234">
                  <c:v>49635.429057031273</c:v>
                </c:pt>
                <c:pt idx="235">
                  <c:v>50084.33439997556</c:v>
                </c:pt>
                <c:pt idx="236">
                  <c:v>50650.753694399522</c:v>
                </c:pt>
                <c:pt idx="237">
                  <c:v>50842.531759974423</c:v>
                </c:pt>
                <c:pt idx="238">
                  <c:v>50245.02586819182</c:v>
                </c:pt>
                <c:pt idx="239">
                  <c:v>48656.964219346941</c:v>
                </c:pt>
                <c:pt idx="240">
                  <c:v>46169.003532904724</c:v>
                </c:pt>
                <c:pt idx="241">
                  <c:v>43162.258020757879</c:v>
                </c:pt>
                <c:pt idx="242">
                  <c:v>40225.638733437205</c:v>
                </c:pt>
                <c:pt idx="243">
                  <c:v>38012.826063846645</c:v>
                </c:pt>
                <c:pt idx="244">
                  <c:v>37076.192908840727</c:v>
                </c:pt>
                <c:pt idx="245">
                  <c:v>37721.56010887822</c:v>
                </c:pt>
                <c:pt idx="246">
                  <c:v>39922.514013304266</c:v>
                </c:pt>
                <c:pt idx="247">
                  <c:v>43317.499448119248</c:v>
                </c:pt>
                <c:pt idx="248">
                  <c:v>47291.147453659432</c:v>
                </c:pt>
                <c:pt idx="249">
                  <c:v>51119.105843645186</c:v>
                </c:pt>
                <c:pt idx="250">
                  <c:v>54138.932209531558</c:v>
                </c:pt>
                <c:pt idx="251">
                  <c:v>55902.839536177817</c:v>
                </c:pt>
                <c:pt idx="252">
                  <c:v>56273.053396759758</c:v>
                </c:pt>
                <c:pt idx="253">
                  <c:v>55435.90813114732</c:v>
                </c:pt>
                <c:pt idx="254">
                  <c:v>53832.460118503863</c:v>
                </c:pt>
                <c:pt idx="255">
                  <c:v>52025.536332533731</c:v>
                </c:pt>
                <c:pt idx="256">
                  <c:v>50539.849013435858</c:v>
                </c:pt>
                <c:pt idx="257">
                  <c:v>49718.636135596964</c:v>
                </c:pt>
                <c:pt idx="258">
                  <c:v>49635.429057031273</c:v>
                </c:pt>
                <c:pt idx="259">
                  <c:v>50084.33439997556</c:v>
                </c:pt>
                <c:pt idx="260">
                  <c:v>50650.753694399522</c:v>
                </c:pt>
                <c:pt idx="261">
                  <c:v>50842.531759974423</c:v>
                </c:pt>
                <c:pt idx="262">
                  <c:v>50245.02586819182</c:v>
                </c:pt>
                <c:pt idx="263">
                  <c:v>48656.964219346941</c:v>
                </c:pt>
                <c:pt idx="264">
                  <c:v>46169.003532904724</c:v>
                </c:pt>
                <c:pt idx="265">
                  <c:v>43162.258020757879</c:v>
                </c:pt>
                <c:pt idx="266">
                  <c:v>40225.638733437205</c:v>
                </c:pt>
                <c:pt idx="267">
                  <c:v>38012.826063846645</c:v>
                </c:pt>
                <c:pt idx="268">
                  <c:v>37076.192908840727</c:v>
                </c:pt>
                <c:pt idx="269">
                  <c:v>37721.56010887822</c:v>
                </c:pt>
                <c:pt idx="270">
                  <c:v>39922.514013304266</c:v>
                </c:pt>
                <c:pt idx="271">
                  <c:v>43317.499448119248</c:v>
                </c:pt>
                <c:pt idx="272">
                  <c:v>47291.147453659432</c:v>
                </c:pt>
                <c:pt idx="273">
                  <c:v>51119.105843645186</c:v>
                </c:pt>
                <c:pt idx="274">
                  <c:v>54138.932209531558</c:v>
                </c:pt>
                <c:pt idx="275">
                  <c:v>55902.839536177817</c:v>
                </c:pt>
                <c:pt idx="276">
                  <c:v>56273.053396759758</c:v>
                </c:pt>
                <c:pt idx="277">
                  <c:v>55435.90813114732</c:v>
                </c:pt>
                <c:pt idx="278">
                  <c:v>53832.460118503863</c:v>
                </c:pt>
                <c:pt idx="279">
                  <c:v>52025.536332533731</c:v>
                </c:pt>
                <c:pt idx="280">
                  <c:v>50539.849013435858</c:v>
                </c:pt>
                <c:pt idx="281">
                  <c:v>49718.636135596964</c:v>
                </c:pt>
                <c:pt idx="282">
                  <c:v>49635.429057031273</c:v>
                </c:pt>
                <c:pt idx="283">
                  <c:v>50084.33439997556</c:v>
                </c:pt>
                <c:pt idx="284">
                  <c:v>50650.753694399522</c:v>
                </c:pt>
                <c:pt idx="285">
                  <c:v>50842.531759974423</c:v>
                </c:pt>
                <c:pt idx="286">
                  <c:v>50245.02586819182</c:v>
                </c:pt>
                <c:pt idx="287">
                  <c:v>48656.964219346941</c:v>
                </c:pt>
                <c:pt idx="288">
                  <c:v>46169.003532904724</c:v>
                </c:pt>
                <c:pt idx="289">
                  <c:v>43162.258020757879</c:v>
                </c:pt>
                <c:pt idx="290">
                  <c:v>40225.638733437205</c:v>
                </c:pt>
                <c:pt idx="291">
                  <c:v>38012.826063846645</c:v>
                </c:pt>
                <c:pt idx="292">
                  <c:v>37076.192908840727</c:v>
                </c:pt>
                <c:pt idx="293">
                  <c:v>37721.56010887822</c:v>
                </c:pt>
                <c:pt idx="294">
                  <c:v>39922.514013304266</c:v>
                </c:pt>
                <c:pt idx="295">
                  <c:v>43317.499448119248</c:v>
                </c:pt>
                <c:pt idx="296">
                  <c:v>47291.147453659432</c:v>
                </c:pt>
                <c:pt idx="297">
                  <c:v>51119.105843645186</c:v>
                </c:pt>
                <c:pt idx="298">
                  <c:v>54138.932209531558</c:v>
                </c:pt>
                <c:pt idx="299">
                  <c:v>55902.839536177817</c:v>
                </c:pt>
                <c:pt idx="300">
                  <c:v>56273.053396759758</c:v>
                </c:pt>
                <c:pt idx="301">
                  <c:v>55435.90813114732</c:v>
                </c:pt>
                <c:pt idx="302">
                  <c:v>53832.460118503863</c:v>
                </c:pt>
                <c:pt idx="303">
                  <c:v>52025.536332533731</c:v>
                </c:pt>
                <c:pt idx="304">
                  <c:v>50539.849013435858</c:v>
                </c:pt>
                <c:pt idx="305">
                  <c:v>49718.636135596964</c:v>
                </c:pt>
                <c:pt idx="306">
                  <c:v>49635.429057031273</c:v>
                </c:pt>
                <c:pt idx="307">
                  <c:v>50084.33439997556</c:v>
                </c:pt>
                <c:pt idx="308">
                  <c:v>50650.753694399522</c:v>
                </c:pt>
                <c:pt idx="309">
                  <c:v>50842.531759974423</c:v>
                </c:pt>
                <c:pt idx="310">
                  <c:v>50245.02586819182</c:v>
                </c:pt>
                <c:pt idx="311">
                  <c:v>48656.964219346941</c:v>
                </c:pt>
                <c:pt idx="312">
                  <c:v>23084.501766452362</c:v>
                </c:pt>
                <c:pt idx="313">
                  <c:v>21581.12901037894</c:v>
                </c:pt>
                <c:pt idx="314">
                  <c:v>20112.819366718602</c:v>
                </c:pt>
                <c:pt idx="315">
                  <c:v>19006.413031923323</c:v>
                </c:pt>
                <c:pt idx="316">
                  <c:v>18538.096454420363</c:v>
                </c:pt>
                <c:pt idx="317">
                  <c:v>18860.78005443911</c:v>
                </c:pt>
                <c:pt idx="318">
                  <c:v>19961.257006652133</c:v>
                </c:pt>
                <c:pt idx="319">
                  <c:v>21658.749724059624</c:v>
                </c:pt>
                <c:pt idx="320">
                  <c:v>23645.573726829716</c:v>
                </c:pt>
                <c:pt idx="321">
                  <c:v>25559.552921822593</c:v>
                </c:pt>
                <c:pt idx="322">
                  <c:v>27069.466104765779</c:v>
                </c:pt>
                <c:pt idx="323">
                  <c:v>27951.419768088908</c:v>
                </c:pt>
                <c:pt idx="324">
                  <c:v>28136.526698379879</c:v>
                </c:pt>
                <c:pt idx="325">
                  <c:v>27717.95406557366</c:v>
                </c:pt>
                <c:pt idx="326">
                  <c:v>26916.230059251931</c:v>
                </c:pt>
                <c:pt idx="327">
                  <c:v>26012.768166266866</c:v>
                </c:pt>
                <c:pt idx="328">
                  <c:v>25269.924506717929</c:v>
                </c:pt>
                <c:pt idx="329">
                  <c:v>24859.318067798482</c:v>
                </c:pt>
                <c:pt idx="330">
                  <c:v>24817.714528515637</c:v>
                </c:pt>
                <c:pt idx="331">
                  <c:v>25042.16719998778</c:v>
                </c:pt>
                <c:pt idx="332">
                  <c:v>25325.376847199761</c:v>
                </c:pt>
                <c:pt idx="333">
                  <c:v>25421.265879987212</c:v>
                </c:pt>
                <c:pt idx="334">
                  <c:v>25122.51293409591</c:v>
                </c:pt>
                <c:pt idx="335">
                  <c:v>24328.48210967347</c:v>
                </c:pt>
                <c:pt idx="336">
                  <c:v>23084.501766452362</c:v>
                </c:pt>
                <c:pt idx="337">
                  <c:v>21581.12901037894</c:v>
                </c:pt>
                <c:pt idx="338">
                  <c:v>20112.819366718602</c:v>
                </c:pt>
                <c:pt idx="339">
                  <c:v>19006.413031923323</c:v>
                </c:pt>
                <c:pt idx="340">
                  <c:v>18538.096454420363</c:v>
                </c:pt>
                <c:pt idx="341">
                  <c:v>18860.78005443911</c:v>
                </c:pt>
                <c:pt idx="342">
                  <c:v>19961.257006652133</c:v>
                </c:pt>
                <c:pt idx="343">
                  <c:v>21658.749724059624</c:v>
                </c:pt>
                <c:pt idx="344">
                  <c:v>23645.573726829716</c:v>
                </c:pt>
                <c:pt idx="345">
                  <c:v>25559.552921822593</c:v>
                </c:pt>
                <c:pt idx="346">
                  <c:v>27069.466104765779</c:v>
                </c:pt>
                <c:pt idx="347">
                  <c:v>27951.419768088908</c:v>
                </c:pt>
                <c:pt idx="348">
                  <c:v>28136.526698379879</c:v>
                </c:pt>
                <c:pt idx="349">
                  <c:v>27717.95406557366</c:v>
                </c:pt>
                <c:pt idx="350">
                  <c:v>26916.230059251931</c:v>
                </c:pt>
                <c:pt idx="351">
                  <c:v>26012.768166266866</c:v>
                </c:pt>
                <c:pt idx="352">
                  <c:v>25269.924506717929</c:v>
                </c:pt>
                <c:pt idx="353">
                  <c:v>24859.318067798482</c:v>
                </c:pt>
                <c:pt idx="354">
                  <c:v>24817.714528515637</c:v>
                </c:pt>
                <c:pt idx="355">
                  <c:v>25042.16719998778</c:v>
                </c:pt>
                <c:pt idx="356">
                  <c:v>25325.376847199761</c:v>
                </c:pt>
                <c:pt idx="357">
                  <c:v>25421.265879987212</c:v>
                </c:pt>
                <c:pt idx="358">
                  <c:v>25122.51293409591</c:v>
                </c:pt>
                <c:pt idx="359">
                  <c:v>24328.48210967347</c:v>
                </c:pt>
                <c:pt idx="360">
                  <c:v>23084.501766452362</c:v>
                </c:pt>
                <c:pt idx="361">
                  <c:v>21581.12901037894</c:v>
                </c:pt>
                <c:pt idx="362">
                  <c:v>20112.819366718602</c:v>
                </c:pt>
                <c:pt idx="363">
                  <c:v>19006.413031923323</c:v>
                </c:pt>
                <c:pt idx="364">
                  <c:v>18538.096454420363</c:v>
                </c:pt>
                <c:pt idx="365">
                  <c:v>18860.78005443911</c:v>
                </c:pt>
                <c:pt idx="366">
                  <c:v>19961.257006652133</c:v>
                </c:pt>
                <c:pt idx="367">
                  <c:v>21658.749724059624</c:v>
                </c:pt>
                <c:pt idx="368">
                  <c:v>23645.573726829716</c:v>
                </c:pt>
                <c:pt idx="369">
                  <c:v>25559.552921822593</c:v>
                </c:pt>
                <c:pt idx="370">
                  <c:v>27069.466104765779</c:v>
                </c:pt>
                <c:pt idx="371">
                  <c:v>27951.419768088908</c:v>
                </c:pt>
                <c:pt idx="372">
                  <c:v>28136.526698379879</c:v>
                </c:pt>
                <c:pt idx="373">
                  <c:v>27717.95406557366</c:v>
                </c:pt>
                <c:pt idx="374">
                  <c:v>26916.230059251931</c:v>
                </c:pt>
                <c:pt idx="375">
                  <c:v>26012.768166266866</c:v>
                </c:pt>
                <c:pt idx="376">
                  <c:v>25269.924506717929</c:v>
                </c:pt>
                <c:pt idx="377">
                  <c:v>24859.318067798482</c:v>
                </c:pt>
                <c:pt idx="378">
                  <c:v>24817.714528515637</c:v>
                </c:pt>
                <c:pt idx="379">
                  <c:v>25042.16719998778</c:v>
                </c:pt>
                <c:pt idx="380">
                  <c:v>25325.376847199761</c:v>
                </c:pt>
                <c:pt idx="381">
                  <c:v>25421.265879987212</c:v>
                </c:pt>
                <c:pt idx="382">
                  <c:v>25122.51293409591</c:v>
                </c:pt>
                <c:pt idx="383">
                  <c:v>24328.48210967347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E0-4C9E-8E23-28C120434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97903"/>
        <c:axId val="544463695"/>
      </c:scatterChart>
      <c:valAx>
        <c:axId val="386897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463695"/>
        <c:crosses val="autoZero"/>
        <c:crossBetween val="midCat"/>
      </c:valAx>
      <c:valAx>
        <c:axId val="54446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897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3598886</xdr:colOff>
      <xdr:row>28</xdr:row>
      <xdr:rowOff>154308</xdr:rowOff>
    </xdr:to>
    <xdr:pic>
      <xdr:nvPicPr>
        <xdr:cNvPr id="3" name="Copyrigh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276850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27381</xdr:colOff>
      <xdr:row>24</xdr:row>
      <xdr:rowOff>133348</xdr:rowOff>
    </xdr:from>
    <xdr:to>
      <xdr:col>28</xdr:col>
      <xdr:colOff>154779</xdr:colOff>
      <xdr:row>52</xdr:row>
      <xdr:rowOff>173832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57B51-2B47-4F0D-B091-B9ACB1426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0"/>
  <sheetViews>
    <sheetView showGridLines="0" showRowColHeaders="0" tabSelected="1" zoomScaleNormal="100" workbookViewId="0">
      <selection activeCell="C3" sqref="C3"/>
    </sheetView>
  </sheetViews>
  <sheetFormatPr defaultColWidth="9.140625" defaultRowHeight="15.75" x14ac:dyDescent="0.25"/>
  <cols>
    <col min="1" max="1" width="4" style="405" customWidth="1"/>
    <col min="2" max="2" width="20.140625" style="405" bestFit="1" customWidth="1"/>
    <col min="3" max="3" width="128.42578125" style="405" bestFit="1" customWidth="1"/>
    <col min="4" max="16384" width="9.140625" style="405"/>
  </cols>
  <sheetData>
    <row r="1" spans="2:3" ht="16.5" thickBot="1" x14ac:dyDescent="0.3"/>
    <row r="2" spans="2:3" ht="19.5" thickBot="1" x14ac:dyDescent="0.35">
      <c r="B2" s="408" t="s">
        <v>83</v>
      </c>
      <c r="C2" s="409" t="s">
        <v>471</v>
      </c>
    </row>
    <row r="3" spans="2:3" ht="16.5" thickBot="1" x14ac:dyDescent="0.3">
      <c r="B3" s="406"/>
      <c r="C3" s="406"/>
    </row>
    <row r="4" spans="2:3" ht="18.75" x14ac:dyDescent="0.3">
      <c r="B4" s="410" t="s">
        <v>59</v>
      </c>
      <c r="C4" s="411" t="s">
        <v>60</v>
      </c>
    </row>
    <row r="5" spans="2:3" ht="18.75" x14ac:dyDescent="0.3">
      <c r="B5" s="412" t="s">
        <v>164</v>
      </c>
      <c r="C5" s="413" t="s">
        <v>165</v>
      </c>
    </row>
    <row r="6" spans="2:3" ht="18.75" x14ac:dyDescent="0.3">
      <c r="B6" s="414" t="s">
        <v>58</v>
      </c>
      <c r="C6" s="415" t="s">
        <v>84</v>
      </c>
    </row>
    <row r="7" spans="2:3" ht="18.75" x14ac:dyDescent="0.3">
      <c r="B7" s="414" t="s">
        <v>110</v>
      </c>
      <c r="C7" s="415" t="s">
        <v>76</v>
      </c>
    </row>
    <row r="8" spans="2:3" ht="18.75" x14ac:dyDescent="0.3">
      <c r="B8" s="414" t="s">
        <v>161</v>
      </c>
      <c r="C8" s="415" t="s">
        <v>77</v>
      </c>
    </row>
    <row r="9" spans="2:3" ht="18.75" x14ac:dyDescent="0.3">
      <c r="B9" s="414" t="s">
        <v>62</v>
      </c>
      <c r="C9" s="415" t="s">
        <v>219</v>
      </c>
    </row>
    <row r="10" spans="2:3" ht="18.75" x14ac:dyDescent="0.3">
      <c r="B10" s="414" t="s">
        <v>138</v>
      </c>
      <c r="C10" s="415" t="s">
        <v>61</v>
      </c>
    </row>
    <row r="11" spans="2:3" ht="19.5" thickBot="1" x14ac:dyDescent="0.35">
      <c r="B11" s="416" t="s">
        <v>162</v>
      </c>
      <c r="C11" s="417" t="s">
        <v>163</v>
      </c>
    </row>
    <row r="12" spans="2:3" ht="16.5" thickBot="1" x14ac:dyDescent="0.3">
      <c r="B12" s="406"/>
      <c r="C12" s="406"/>
    </row>
    <row r="13" spans="2:3" ht="18.75" x14ac:dyDescent="0.3">
      <c r="B13" s="410" t="s">
        <v>78</v>
      </c>
      <c r="C13" s="411" t="s">
        <v>79</v>
      </c>
    </row>
    <row r="14" spans="2:3" ht="18.75" x14ac:dyDescent="0.3">
      <c r="B14" s="418" t="s">
        <v>63</v>
      </c>
      <c r="C14" s="415" t="s">
        <v>65</v>
      </c>
    </row>
    <row r="15" spans="2:3" ht="18.75" x14ac:dyDescent="0.3">
      <c r="B15" s="419" t="s">
        <v>64</v>
      </c>
      <c r="C15" s="415" t="s">
        <v>81</v>
      </c>
    </row>
    <row r="16" spans="2:3" ht="18.75" x14ac:dyDescent="0.3">
      <c r="B16" s="420" t="s">
        <v>80</v>
      </c>
      <c r="C16" s="415" t="s">
        <v>82</v>
      </c>
    </row>
    <row r="17" spans="2:3" ht="19.5" thickBot="1" x14ac:dyDescent="0.35">
      <c r="B17" s="421" t="s">
        <v>129</v>
      </c>
      <c r="C17" s="417" t="s">
        <v>130</v>
      </c>
    </row>
    <row r="18" spans="2:3" ht="16.5" thickBot="1" x14ac:dyDescent="0.3">
      <c r="B18" s="406"/>
      <c r="C18" s="406"/>
    </row>
    <row r="19" spans="2:3" ht="19.5" thickBot="1" x14ac:dyDescent="0.35">
      <c r="B19" s="408" t="s">
        <v>118</v>
      </c>
      <c r="C19" s="409" t="s">
        <v>401</v>
      </c>
    </row>
    <row r="30" spans="2:3" x14ac:dyDescent="0.25">
      <c r="B30" s="407" t="s">
        <v>404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4.7109375" style="53" customWidth="1"/>
    <col min="2" max="2" width="31" style="53" customWidth="1"/>
    <col min="3" max="3" width="16.140625" style="53" customWidth="1"/>
    <col min="4" max="4" width="13.85546875" style="53" customWidth="1"/>
    <col min="5" max="5" width="9.140625" style="53"/>
    <col min="6" max="6" width="38.5703125" style="52" customWidth="1"/>
    <col min="7" max="7" width="11.5703125" style="52" bestFit="1" customWidth="1"/>
    <col min="8" max="8" width="17.28515625" style="52" customWidth="1"/>
    <col min="9" max="9" width="18.140625" style="52" customWidth="1"/>
    <col min="10" max="11" width="9.140625" style="53"/>
    <col min="12" max="12" width="13.42578125" style="53" bestFit="1" customWidth="1"/>
    <col min="13" max="13" width="59.5703125" style="53" customWidth="1"/>
    <col min="14" max="14" width="21.140625" style="53" customWidth="1"/>
    <col min="15" max="16384" width="9.140625" style="53"/>
  </cols>
  <sheetData>
    <row r="1" spans="2:15" ht="15.75" thickBot="1" x14ac:dyDescent="0.3"/>
    <row r="2" spans="2:15" ht="18.75" customHeight="1" thickBot="1" x14ac:dyDescent="0.3">
      <c r="B2" s="328" t="s">
        <v>46</v>
      </c>
      <c r="C2" s="331" t="s">
        <v>39</v>
      </c>
      <c r="D2" s="333" t="s">
        <v>1</v>
      </c>
      <c r="E2" s="340"/>
      <c r="F2" s="335" t="s">
        <v>124</v>
      </c>
      <c r="G2" s="336" t="s">
        <v>39</v>
      </c>
      <c r="H2" s="336" t="s">
        <v>1</v>
      </c>
      <c r="I2" s="337" t="s">
        <v>122</v>
      </c>
    </row>
    <row r="3" spans="2:15" ht="18.75" customHeight="1" x14ac:dyDescent="0.25">
      <c r="B3" s="148" t="s">
        <v>38</v>
      </c>
      <c r="C3" s="149">
        <v>24000</v>
      </c>
      <c r="D3" s="137" t="s">
        <v>126</v>
      </c>
      <c r="E3" s="340"/>
      <c r="F3" s="150"/>
      <c r="G3" s="151"/>
      <c r="H3" s="151"/>
      <c r="I3" s="152"/>
    </row>
    <row r="4" spans="2:15" ht="18.75" customHeight="1" x14ac:dyDescent="0.25">
      <c r="B4" s="88" t="s">
        <v>42</v>
      </c>
      <c r="C4" s="25">
        <v>74.900000000000006</v>
      </c>
      <c r="D4" s="56" t="s">
        <v>45</v>
      </c>
      <c r="E4" s="340"/>
      <c r="F4" s="171" t="s">
        <v>217</v>
      </c>
      <c r="G4" s="81">
        <f>C5/C4*100</f>
        <v>89.052069425901209</v>
      </c>
      <c r="H4" s="57" t="s">
        <v>107</v>
      </c>
      <c r="I4" s="92">
        <v>90</v>
      </c>
    </row>
    <row r="5" spans="2:15" ht="18.75" customHeight="1" x14ac:dyDescent="0.25">
      <c r="B5" s="88" t="s">
        <v>43</v>
      </c>
      <c r="C5" s="25">
        <v>66.7</v>
      </c>
      <c r="D5" s="56" t="s">
        <v>45</v>
      </c>
      <c r="E5" s="340"/>
      <c r="F5" s="93" t="s">
        <v>125</v>
      </c>
      <c r="G5" s="94">
        <f>(C14-C15)/C5</f>
        <v>1.6101949025487252</v>
      </c>
      <c r="H5" s="95" t="s">
        <v>140</v>
      </c>
      <c r="I5" s="92">
        <v>1.6</v>
      </c>
    </row>
    <row r="6" spans="2:15" ht="18.75" customHeight="1" x14ac:dyDescent="0.25">
      <c r="B6" s="96" t="s">
        <v>227</v>
      </c>
      <c r="C6" s="26">
        <v>800</v>
      </c>
      <c r="D6" s="97" t="s">
        <v>45</v>
      </c>
      <c r="E6" s="98"/>
      <c r="F6" s="99" t="s">
        <v>228</v>
      </c>
      <c r="G6" s="100">
        <f>C6-C4</f>
        <v>725.1</v>
      </c>
      <c r="H6" s="101" t="s">
        <v>45</v>
      </c>
      <c r="I6" s="102"/>
    </row>
    <row r="7" spans="2:15" ht="18.75" customHeight="1" x14ac:dyDescent="0.25">
      <c r="B7" s="88" t="s">
        <v>17</v>
      </c>
      <c r="C7" s="25">
        <v>30</v>
      </c>
      <c r="D7" s="56" t="s">
        <v>152</v>
      </c>
      <c r="E7" s="340"/>
      <c r="F7" s="103"/>
      <c r="G7" s="91"/>
      <c r="H7" s="69"/>
      <c r="I7" s="92"/>
    </row>
    <row r="8" spans="2:15" ht="18.75" customHeight="1" x14ac:dyDescent="0.25">
      <c r="B8" s="88" t="s">
        <v>41</v>
      </c>
      <c r="C8" s="25">
        <v>3.65</v>
      </c>
      <c r="D8" s="56" t="s">
        <v>44</v>
      </c>
      <c r="E8" s="340"/>
      <c r="F8" s="103"/>
      <c r="G8" s="91"/>
      <c r="H8" s="69"/>
      <c r="I8" s="92"/>
    </row>
    <row r="9" spans="2:15" ht="18.75" customHeight="1" x14ac:dyDescent="0.25">
      <c r="B9" s="96" t="s">
        <v>56</v>
      </c>
      <c r="C9" s="26">
        <v>20</v>
      </c>
      <c r="D9" s="97" t="s">
        <v>57</v>
      </c>
      <c r="E9" s="98"/>
      <c r="F9" s="99"/>
      <c r="G9" s="104"/>
      <c r="H9" s="101"/>
      <c r="I9" s="102"/>
    </row>
    <row r="10" spans="2:15" s="58" customFormat="1" ht="18.75" customHeight="1" x14ac:dyDescent="0.25">
      <c r="B10" s="54" t="s">
        <v>19</v>
      </c>
      <c r="C10" s="25">
        <v>330</v>
      </c>
      <c r="D10" s="56" t="s">
        <v>190</v>
      </c>
      <c r="E10" s="343"/>
      <c r="F10" s="90" t="s">
        <v>73</v>
      </c>
      <c r="G10" s="81">
        <f>C10/50</f>
        <v>6.6</v>
      </c>
      <c r="H10" s="105" t="s">
        <v>51</v>
      </c>
      <c r="I10" s="106" t="s">
        <v>119</v>
      </c>
      <c r="L10" s="53"/>
      <c r="M10" s="53"/>
      <c r="N10" s="53"/>
      <c r="O10" s="53"/>
    </row>
    <row r="11" spans="2:15" ht="18.75" customHeight="1" thickBot="1" x14ac:dyDescent="0.3">
      <c r="B11" s="59" t="s">
        <v>20</v>
      </c>
      <c r="C11" s="27">
        <v>7.2</v>
      </c>
      <c r="D11" s="61" t="s">
        <v>21</v>
      </c>
      <c r="E11" s="340"/>
      <c r="F11" s="155"/>
      <c r="G11" s="153"/>
      <c r="H11" s="156"/>
      <c r="I11" s="154"/>
    </row>
    <row r="12" spans="2:15" ht="18.75" customHeight="1" thickBot="1" x14ac:dyDescent="0.3">
      <c r="B12" s="340"/>
      <c r="C12" s="341"/>
      <c r="D12" s="341"/>
      <c r="E12" s="340"/>
      <c r="F12" s="340"/>
      <c r="G12" s="340"/>
      <c r="H12" s="340"/>
      <c r="I12" s="340"/>
    </row>
    <row r="13" spans="2:15" ht="18.75" customHeight="1" thickBot="1" x14ac:dyDescent="0.3">
      <c r="B13" s="329" t="s">
        <v>50</v>
      </c>
      <c r="C13" s="331" t="s">
        <v>39</v>
      </c>
      <c r="D13" s="333" t="s">
        <v>1</v>
      </c>
      <c r="E13" s="340"/>
      <c r="F13" s="329" t="s">
        <v>187</v>
      </c>
      <c r="G13" s="336" t="s">
        <v>39</v>
      </c>
      <c r="H13" s="336" t="s">
        <v>1</v>
      </c>
      <c r="I13" s="337" t="s">
        <v>122</v>
      </c>
    </row>
    <row r="14" spans="2:15" ht="18.75" customHeight="1" x14ac:dyDescent="0.25">
      <c r="B14" s="117" t="s">
        <v>472</v>
      </c>
      <c r="C14" s="118">
        <v>277.39999999999998</v>
      </c>
      <c r="D14" s="119" t="s">
        <v>68</v>
      </c>
      <c r="E14" s="340"/>
      <c r="F14" s="122" t="s">
        <v>123</v>
      </c>
      <c r="G14" s="185">
        <f>C14-C15</f>
        <v>107.39999999999998</v>
      </c>
      <c r="H14" s="186" t="s">
        <v>68</v>
      </c>
      <c r="I14" s="109"/>
    </row>
    <row r="15" spans="2:15" ht="18.75" customHeight="1" x14ac:dyDescent="0.25">
      <c r="B15" s="88" t="s">
        <v>473</v>
      </c>
      <c r="C15" s="25">
        <v>170</v>
      </c>
      <c r="D15" s="56" t="s">
        <v>68</v>
      </c>
      <c r="E15" s="340"/>
      <c r="F15" s="90" t="s">
        <v>52</v>
      </c>
      <c r="G15" s="81">
        <f>C15/C14*100</f>
        <v>61.283345349675564</v>
      </c>
      <c r="H15" s="57" t="s">
        <v>107</v>
      </c>
      <c r="I15" s="92">
        <v>60</v>
      </c>
    </row>
    <row r="16" spans="2:15" ht="18.75" customHeight="1" x14ac:dyDescent="0.25">
      <c r="B16" s="88" t="s">
        <v>474</v>
      </c>
      <c r="C16" s="25">
        <v>85</v>
      </c>
      <c r="D16" s="56" t="s">
        <v>68</v>
      </c>
      <c r="E16" s="340"/>
      <c r="F16" s="90" t="s">
        <v>72</v>
      </c>
      <c r="G16" s="81">
        <f>C16/C14*100</f>
        <v>30.641672674837782</v>
      </c>
      <c r="H16" s="57" t="s">
        <v>107</v>
      </c>
      <c r="I16" s="92">
        <v>30</v>
      </c>
    </row>
    <row r="17" spans="2:9" ht="18.75" customHeight="1" x14ac:dyDescent="0.25">
      <c r="B17" s="88" t="s">
        <v>54</v>
      </c>
      <c r="C17" s="25">
        <v>20</v>
      </c>
      <c r="D17" s="56" t="s">
        <v>68</v>
      </c>
      <c r="E17" s="340"/>
      <c r="F17" s="93" t="s">
        <v>131</v>
      </c>
      <c r="G17" s="81">
        <f>C17/C15*100</f>
        <v>11.76470588235294</v>
      </c>
      <c r="H17" s="57" t="s">
        <v>107</v>
      </c>
      <c r="I17" s="181" t="s">
        <v>226</v>
      </c>
    </row>
    <row r="18" spans="2:9" ht="18.75" customHeight="1" thickBot="1" x14ac:dyDescent="0.3">
      <c r="B18" s="107" t="s">
        <v>475</v>
      </c>
      <c r="C18" s="27">
        <v>132.5</v>
      </c>
      <c r="D18" s="61" t="s">
        <v>189</v>
      </c>
      <c r="E18" s="340"/>
      <c r="F18" s="90" t="s">
        <v>55</v>
      </c>
      <c r="G18" s="91">
        <f>C14/C18</f>
        <v>2.0935849056603772</v>
      </c>
      <c r="H18" s="57" t="s">
        <v>21</v>
      </c>
      <c r="I18" s="92">
        <v>2.1</v>
      </c>
    </row>
    <row r="19" spans="2:9" ht="18.75" customHeight="1" thickBot="1" x14ac:dyDescent="0.3">
      <c r="B19" s="183"/>
      <c r="C19" s="182"/>
      <c r="D19" s="86"/>
      <c r="E19" s="340"/>
      <c r="F19" s="187" t="s">
        <v>229</v>
      </c>
      <c r="G19" s="153">
        <f>C18/C4</f>
        <v>1.7690253671562082</v>
      </c>
      <c r="H19" s="60" t="s">
        <v>21</v>
      </c>
      <c r="I19" s="154">
        <v>1.7</v>
      </c>
    </row>
    <row r="20" spans="2:9" ht="18.75" customHeight="1" thickBot="1" x14ac:dyDescent="0.3">
      <c r="B20" s="108"/>
      <c r="C20" s="65"/>
      <c r="D20" s="65"/>
      <c r="E20" s="340"/>
      <c r="F20" s="340"/>
      <c r="G20" s="340"/>
      <c r="H20" s="340"/>
      <c r="I20" s="340"/>
    </row>
    <row r="21" spans="2:9" ht="18.75" customHeight="1" thickBot="1" x14ac:dyDescent="0.3">
      <c r="B21" s="330" t="s">
        <v>483</v>
      </c>
      <c r="C21" s="332" t="s">
        <v>39</v>
      </c>
      <c r="D21" s="334" t="s">
        <v>1</v>
      </c>
      <c r="E21" s="340"/>
      <c r="F21" s="330" t="s">
        <v>186</v>
      </c>
      <c r="G21" s="338" t="s">
        <v>39</v>
      </c>
      <c r="H21" s="338" t="s">
        <v>1</v>
      </c>
      <c r="I21" s="339" t="s">
        <v>122</v>
      </c>
    </row>
    <row r="22" spans="2:9" ht="18.75" customHeight="1" x14ac:dyDescent="0.25">
      <c r="B22" s="117" t="s">
        <v>47</v>
      </c>
      <c r="C22" s="118">
        <v>20</v>
      </c>
      <c r="D22" s="119" t="s">
        <v>68</v>
      </c>
      <c r="E22" s="340"/>
      <c r="F22" s="122" t="s">
        <v>23</v>
      </c>
      <c r="G22" s="80">
        <f>C22/C15*100</f>
        <v>11.76470588235294</v>
      </c>
      <c r="H22" s="123" t="s">
        <v>107</v>
      </c>
      <c r="I22" s="184" t="s">
        <v>230</v>
      </c>
    </row>
    <row r="23" spans="2:9" ht="18.75" customHeight="1" x14ac:dyDescent="0.25">
      <c r="B23" s="88" t="s">
        <v>48</v>
      </c>
      <c r="C23" s="25">
        <v>24</v>
      </c>
      <c r="D23" s="56" t="s">
        <v>152</v>
      </c>
      <c r="E23" s="340"/>
      <c r="F23" s="93" t="s">
        <v>127</v>
      </c>
      <c r="G23" s="81">
        <f>C23/C7*100</f>
        <v>80</v>
      </c>
      <c r="H23" s="57" t="s">
        <v>107</v>
      </c>
      <c r="I23" s="436" t="s">
        <v>476</v>
      </c>
    </row>
    <row r="24" spans="2:9" ht="18.75" customHeight="1" x14ac:dyDescent="0.25">
      <c r="B24" s="88" t="s">
        <v>49</v>
      </c>
      <c r="C24" s="25">
        <v>2.5</v>
      </c>
      <c r="D24" s="56" t="s">
        <v>153</v>
      </c>
      <c r="E24" s="340"/>
      <c r="F24" s="93" t="s">
        <v>128</v>
      </c>
      <c r="G24" s="81">
        <f>C24/C8*100</f>
        <v>68.493150684931507</v>
      </c>
      <c r="H24" s="57" t="s">
        <v>107</v>
      </c>
      <c r="I24" s="436" t="s">
        <v>477</v>
      </c>
    </row>
    <row r="25" spans="2:9" ht="18.75" customHeight="1" x14ac:dyDescent="0.25">
      <c r="B25" s="88" t="s">
        <v>53</v>
      </c>
      <c r="C25" s="25">
        <v>0</v>
      </c>
      <c r="D25" s="56" t="s">
        <v>152</v>
      </c>
      <c r="E25" s="340"/>
      <c r="F25" s="89"/>
      <c r="G25" s="110"/>
      <c r="H25" s="69"/>
      <c r="I25" s="111"/>
    </row>
    <row r="26" spans="2:9" ht="18.75" customHeight="1" x14ac:dyDescent="0.25">
      <c r="B26" s="120" t="s">
        <v>120</v>
      </c>
      <c r="C26" s="25">
        <v>150</v>
      </c>
      <c r="D26" s="112" t="s">
        <v>45</v>
      </c>
      <c r="E26" s="340"/>
      <c r="F26" s="89"/>
      <c r="G26" s="110"/>
      <c r="H26" s="69"/>
      <c r="I26" s="124"/>
    </row>
    <row r="27" spans="2:9" ht="18.75" customHeight="1" thickBot="1" x14ac:dyDescent="0.3">
      <c r="B27" s="66" t="s">
        <v>11</v>
      </c>
      <c r="C27" s="25">
        <v>15</v>
      </c>
      <c r="D27" s="112" t="s">
        <v>45</v>
      </c>
      <c r="E27" s="340"/>
      <c r="F27" s="59" t="s">
        <v>141</v>
      </c>
      <c r="G27" s="83">
        <f>G6-C26-C27-C25-C24-C28</f>
        <v>541.6</v>
      </c>
      <c r="H27" s="68" t="s">
        <v>45</v>
      </c>
      <c r="I27" s="157" t="s">
        <v>170</v>
      </c>
    </row>
    <row r="28" spans="2:9" ht="18.75" customHeight="1" x14ac:dyDescent="0.25">
      <c r="B28" s="66" t="s">
        <v>177</v>
      </c>
      <c r="C28" s="25">
        <v>16</v>
      </c>
      <c r="D28" s="112" t="s">
        <v>45</v>
      </c>
      <c r="E28" s="340"/>
      <c r="F28" s="85"/>
      <c r="G28" s="146"/>
      <c r="H28" s="86"/>
      <c r="I28" s="147"/>
    </row>
    <row r="29" spans="2:9" ht="18.75" customHeight="1" x14ac:dyDescent="0.25">
      <c r="B29" s="145" t="s">
        <v>171</v>
      </c>
      <c r="C29" s="342">
        <v>300</v>
      </c>
      <c r="D29" s="112" t="s">
        <v>45</v>
      </c>
      <c r="E29" s="340"/>
      <c r="F29" s="340"/>
      <c r="G29" s="340"/>
      <c r="H29" s="340"/>
      <c r="I29" s="340"/>
    </row>
    <row r="30" spans="2:9" ht="18.75" customHeight="1" thickBot="1" x14ac:dyDescent="0.3">
      <c r="B30" s="121" t="s">
        <v>185</v>
      </c>
      <c r="C30" s="27">
        <v>110</v>
      </c>
      <c r="D30" s="113" t="s">
        <v>45</v>
      </c>
      <c r="E30" s="340"/>
      <c r="F30" s="340"/>
      <c r="G30" s="340"/>
      <c r="H30" s="340"/>
      <c r="I30" s="340"/>
    </row>
    <row r="31" spans="2:9" ht="18.75" customHeight="1" x14ac:dyDescent="0.25"/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showGridLines="0" zoomScale="70" zoomScaleNormal="70" workbookViewId="0">
      <selection activeCell="D10" sqref="D10"/>
    </sheetView>
  </sheetViews>
  <sheetFormatPr defaultColWidth="9.140625" defaultRowHeight="18.75" customHeight="1" x14ac:dyDescent="0.25"/>
  <cols>
    <col min="1" max="1" width="4" style="75" customWidth="1"/>
    <col min="2" max="2" width="87.140625" style="75" bestFit="1" customWidth="1"/>
    <col min="3" max="3" width="13.28515625" style="75" customWidth="1"/>
    <col min="4" max="4" width="20.7109375" style="75" customWidth="1"/>
    <col min="5" max="5" width="7.140625" style="75" customWidth="1"/>
    <col min="6" max="6" width="40.7109375" style="75" customWidth="1"/>
    <col min="7" max="7" width="14.7109375" style="75" customWidth="1"/>
    <col min="8" max="8" width="20.7109375" style="75" customWidth="1"/>
    <col min="9" max="9" width="17.85546875" style="75" customWidth="1"/>
    <col min="10" max="16384" width="9.140625" style="75"/>
  </cols>
  <sheetData>
    <row r="1" spans="1:9" ht="18.75" customHeight="1" thickBot="1" x14ac:dyDescent="0.3">
      <c r="D1" s="76"/>
    </row>
    <row r="2" spans="1:9" ht="30.75" thickBot="1" x14ac:dyDescent="0.3">
      <c r="B2" s="346" t="s">
        <v>479</v>
      </c>
      <c r="C2" s="336" t="s">
        <v>215</v>
      </c>
      <c r="D2" s="333" t="s">
        <v>218</v>
      </c>
      <c r="E2" s="259"/>
      <c r="F2" s="344" t="s">
        <v>111</v>
      </c>
      <c r="G2" s="332" t="s">
        <v>71</v>
      </c>
      <c r="H2" s="332" t="s">
        <v>70</v>
      </c>
      <c r="I2" s="334" t="s">
        <v>117</v>
      </c>
    </row>
    <row r="3" spans="1:9" ht="19.149999999999999" customHeight="1" x14ac:dyDescent="0.25">
      <c r="B3" s="190" t="s">
        <v>236</v>
      </c>
      <c r="C3" s="140">
        <v>61.283345349675564</v>
      </c>
      <c r="D3" s="172">
        <f>Data!G15</f>
        <v>61.283345349675564</v>
      </c>
      <c r="E3" s="259"/>
      <c r="F3" s="78" t="s">
        <v>472</v>
      </c>
      <c r="G3" s="79">
        <f>Data!C14</f>
        <v>277.39999999999998</v>
      </c>
      <c r="H3" s="80">
        <f>G3</f>
        <v>277.39999999999998</v>
      </c>
      <c r="I3" s="349" t="str">
        <f>IF(ABS((H3-G3)/H3)&lt;Calculations!$C$9,Calculations!$C$8,IF(ABS((H3-G3)/G3)&gt;Calculations!$E$9,Calculations!$E$8,Calculations!$D$8))</f>
        <v>good match</v>
      </c>
    </row>
    <row r="4" spans="1:9" ht="19.149999999999999" customHeight="1" x14ac:dyDescent="0.25">
      <c r="B4" s="188" t="s">
        <v>237</v>
      </c>
      <c r="C4" s="55">
        <v>30.641672674837782</v>
      </c>
      <c r="D4" s="173">
        <f>Data!G16</f>
        <v>30.641672674837782</v>
      </c>
      <c r="E4" s="259"/>
      <c r="F4" s="54" t="s">
        <v>481</v>
      </c>
      <c r="G4" s="55">
        <f>Data!C15</f>
        <v>170</v>
      </c>
      <c r="H4" s="81">
        <f>G3*D3/100</f>
        <v>170</v>
      </c>
      <c r="I4" s="350" t="str">
        <f>IF(ABS((H4-G4)/H4)&lt;Calculations!$C$9,Calculations!$C$8,IF(ABS((H4-G4)/G4)&gt;Calculations!$E$9,Calculations!$E$8,Calculations!$D$8))</f>
        <v>good match</v>
      </c>
    </row>
    <row r="5" spans="1:9" ht="19.149999999999999" customHeight="1" x14ac:dyDescent="0.25">
      <c r="B5" s="188" t="s">
        <v>238</v>
      </c>
      <c r="C5" s="55">
        <v>11.76470588235294</v>
      </c>
      <c r="D5" s="173">
        <f>Data!G22</f>
        <v>11.76470588235294</v>
      </c>
      <c r="E5" s="259"/>
      <c r="F5" s="54" t="s">
        <v>484</v>
      </c>
      <c r="G5" s="55">
        <f>Data!C16</f>
        <v>85</v>
      </c>
      <c r="H5" s="81">
        <f>G3*D4/100</f>
        <v>85</v>
      </c>
      <c r="I5" s="350" t="str">
        <f>IF(ABS((H5-G5)/H5)&lt;Calculations!$C$9,Calculations!$C$8,IF(ABS((H5-G5)/G5)&gt;Calculations!$E$9,Calculations!$E$8,Calculations!$D$8))</f>
        <v>good match</v>
      </c>
    </row>
    <row r="6" spans="1:9" ht="19.149999999999999" customHeight="1" thickBot="1" x14ac:dyDescent="0.3">
      <c r="B6" s="189" t="s">
        <v>239</v>
      </c>
      <c r="C6" s="82">
        <v>11.76470588235294</v>
      </c>
      <c r="D6" s="174">
        <f>Data!G17</f>
        <v>11.76470588235294</v>
      </c>
      <c r="E6" s="259"/>
      <c r="F6" s="54" t="s">
        <v>482</v>
      </c>
      <c r="G6" s="55">
        <f>Data!C18</f>
        <v>132.5</v>
      </c>
      <c r="H6" s="81">
        <f>Calculations!D5</f>
        <v>132.50291249999998</v>
      </c>
      <c r="I6" s="350" t="str">
        <f>IF(ABS((H6-G6)/H6)&lt;Calculations!$C$10,Calculations!$C$8,IF(ABS((H6-G6)/G6)&gt;Calculations!$E$10,Calculations!$E$8,Calculations!$D$8))</f>
        <v>good match</v>
      </c>
    </row>
    <row r="7" spans="1:9" ht="19.149999999999999" customHeight="1" x14ac:dyDescent="0.25">
      <c r="A7" s="259"/>
      <c r="B7" s="260"/>
      <c r="C7" s="261"/>
      <c r="D7" s="146"/>
      <c r="E7" s="259"/>
      <c r="F7" s="54" t="s">
        <v>42</v>
      </c>
      <c r="G7" s="55">
        <f>Data!C4</f>
        <v>74.900000000000006</v>
      </c>
      <c r="H7" s="81">
        <f>H8/Data!G4*100</f>
        <v>74.876294035532595</v>
      </c>
      <c r="I7" s="350" t="str">
        <f>IF(ABS((H7-G7)/H7)&lt;Calculations!$C$11,Calculations!$C$8,IF(ABS((H7-G7)/G7)&gt;Calculations!$E$11,Calculations!$E$8,Calculations!$D$8))</f>
        <v>good match</v>
      </c>
    </row>
    <row r="8" spans="1:9" ht="19.149999999999999" customHeight="1" thickBot="1" x14ac:dyDescent="0.3">
      <c r="B8" s="259"/>
      <c r="C8" s="259"/>
      <c r="D8" s="259"/>
      <c r="E8" s="259"/>
      <c r="F8" s="59" t="s">
        <v>43</v>
      </c>
      <c r="G8" s="82">
        <f>Data!C5</f>
        <v>66.7</v>
      </c>
      <c r="H8" s="83">
        <f>(SUM(Balances!C15:C19)+Balances!C10)/D20+Balances!C6/D21+Balances!C9/D22+Balances!C11/D23+Balances!C20/Balances!K19</f>
        <v>66.678889348064416</v>
      </c>
      <c r="I8" s="351" t="str">
        <f>IF(ABS((H8-G8)/H8)&lt;Calculations!$C$11,Calculations!$C$8,IF(ABS((H8-G8)/G8)&gt;Calculations!$E$11,Calculations!$E$8,Calculations!$D$8))</f>
        <v>good match</v>
      </c>
    </row>
    <row r="9" spans="1:9" ht="36" customHeight="1" thickBot="1" x14ac:dyDescent="0.3">
      <c r="B9" s="344" t="s">
        <v>480</v>
      </c>
      <c r="C9" s="345" t="s">
        <v>215</v>
      </c>
      <c r="D9" s="334" t="s">
        <v>216</v>
      </c>
      <c r="E9" s="259"/>
      <c r="F9" s="259"/>
      <c r="G9" s="259"/>
      <c r="H9" s="259"/>
      <c r="I9" s="259"/>
    </row>
    <row r="10" spans="1:9" ht="19.149999999999999" customHeight="1" thickBot="1" x14ac:dyDescent="0.3">
      <c r="B10" s="199" t="s">
        <v>240</v>
      </c>
      <c r="C10" s="126">
        <v>9.1</v>
      </c>
      <c r="D10" s="127">
        <v>9.1</v>
      </c>
      <c r="E10" s="259"/>
      <c r="F10" s="346" t="s">
        <v>62</v>
      </c>
      <c r="G10" s="453" t="s">
        <v>214</v>
      </c>
      <c r="H10" s="453"/>
      <c r="I10" s="454"/>
    </row>
    <row r="11" spans="1:9" ht="19.149999999999999" customHeight="1" x14ac:dyDescent="0.25">
      <c r="B11" s="220" t="s">
        <v>241</v>
      </c>
      <c r="C11" s="77">
        <v>3.25</v>
      </c>
      <c r="D11" s="73">
        <v>3.25</v>
      </c>
      <c r="E11" s="259"/>
      <c r="F11" s="134" t="s">
        <v>40</v>
      </c>
      <c r="G11" s="455" t="str">
        <f>IF(Balances!C6&gt;0,"OK", "No, please check the data (Total COD, FilteredCOD and Filtered flocculated COD) and the fractions")</f>
        <v>OK</v>
      </c>
      <c r="H11" s="455"/>
      <c r="I11" s="456"/>
    </row>
    <row r="12" spans="1:9" ht="19.149999999999999" customHeight="1" x14ac:dyDescent="0.25">
      <c r="B12" s="220" t="s">
        <v>302</v>
      </c>
      <c r="C12" s="77">
        <v>20</v>
      </c>
      <c r="D12" s="73">
        <v>20</v>
      </c>
      <c r="E12" s="259"/>
      <c r="F12" s="54" t="s">
        <v>17</v>
      </c>
      <c r="G12" s="457" t="str">
        <f>IF(Balances!G11&gt;0,"OK", "No, please check the data (TKN, Ammonia) and the fractions")</f>
        <v>OK</v>
      </c>
      <c r="H12" s="457"/>
      <c r="I12" s="458"/>
    </row>
    <row r="13" spans="1:9" ht="19.149999999999999" customHeight="1" x14ac:dyDescent="0.25">
      <c r="B13" s="220" t="s">
        <v>242</v>
      </c>
      <c r="C13" s="77">
        <v>20</v>
      </c>
      <c r="D13" s="73">
        <v>20</v>
      </c>
      <c r="E13" s="259"/>
      <c r="F13" s="54" t="s">
        <v>41</v>
      </c>
      <c r="G13" s="457" t="str">
        <f>IF(Balances!G26&gt;0,"OK", "No, please check the data (TP, Phosphates) and the fractions")</f>
        <v>OK</v>
      </c>
      <c r="H13" s="457"/>
      <c r="I13" s="458"/>
    </row>
    <row r="14" spans="1:9" ht="19.149999999999999" customHeight="1" thickBot="1" x14ac:dyDescent="0.3">
      <c r="B14" s="193" t="s">
        <v>243</v>
      </c>
      <c r="C14" s="77">
        <v>4</v>
      </c>
      <c r="D14" s="73">
        <v>4</v>
      </c>
      <c r="E14" s="259"/>
      <c r="F14" s="59" t="s">
        <v>42</v>
      </c>
      <c r="G14" s="459" t="str">
        <f>IF(Balances!C27&gt;0,"OK", "No, please check the data (TSS and VSS) and the fractions")</f>
        <v>OK</v>
      </c>
      <c r="H14" s="460"/>
      <c r="I14" s="461"/>
    </row>
    <row r="15" spans="1:9" ht="19.149999999999999" customHeight="1" x14ac:dyDescent="0.25">
      <c r="B15" s="193" t="s">
        <v>244</v>
      </c>
      <c r="C15" s="77">
        <v>1</v>
      </c>
      <c r="D15" s="73">
        <v>1</v>
      </c>
      <c r="E15" s="259"/>
      <c r="F15" s="259"/>
      <c r="G15" s="259"/>
      <c r="H15" s="259"/>
      <c r="I15" s="259"/>
    </row>
    <row r="16" spans="1:9" ht="19.149999999999999" customHeight="1" x14ac:dyDescent="0.25">
      <c r="B16" s="193" t="s">
        <v>245</v>
      </c>
      <c r="C16" s="77">
        <v>1</v>
      </c>
      <c r="D16" s="73">
        <v>1</v>
      </c>
      <c r="E16" s="259"/>
      <c r="F16" s="259"/>
      <c r="G16" s="259"/>
      <c r="H16" s="259"/>
      <c r="I16" s="259"/>
    </row>
    <row r="17" spans="2:9" ht="19.149999999999999" customHeight="1" thickBot="1" x14ac:dyDescent="0.3">
      <c r="B17" s="194" t="s">
        <v>246</v>
      </c>
      <c r="C17" s="84">
        <v>0.1</v>
      </c>
      <c r="D17" s="74">
        <v>0.1</v>
      </c>
      <c r="E17" s="259"/>
      <c r="F17" s="259"/>
      <c r="G17" s="259"/>
      <c r="H17" s="259"/>
      <c r="I17" s="259"/>
    </row>
    <row r="18" spans="2:9" ht="19.149999999999999" customHeight="1" thickBot="1" x14ac:dyDescent="0.3">
      <c r="B18" s="85"/>
      <c r="C18" s="86"/>
      <c r="D18" s="87"/>
      <c r="E18" s="259"/>
      <c r="F18" s="259"/>
      <c r="G18" s="259"/>
      <c r="H18" s="259"/>
      <c r="I18" s="259"/>
    </row>
    <row r="19" spans="2:9" ht="36" customHeight="1" thickBot="1" x14ac:dyDescent="0.3">
      <c r="B19" s="344" t="s">
        <v>160</v>
      </c>
      <c r="C19" s="345" t="s">
        <v>13</v>
      </c>
      <c r="D19" s="347" t="s">
        <v>252</v>
      </c>
      <c r="E19" s="259"/>
      <c r="F19" s="348" t="s">
        <v>132</v>
      </c>
      <c r="G19" s="332" t="s">
        <v>133</v>
      </c>
      <c r="H19" s="332" t="s">
        <v>134</v>
      </c>
      <c r="I19" s="334" t="s">
        <v>117</v>
      </c>
    </row>
    <row r="20" spans="2:9" ht="19.149999999999999" customHeight="1" x14ac:dyDescent="0.25">
      <c r="B20" s="242" t="s">
        <v>247</v>
      </c>
      <c r="C20" s="126">
        <v>1.42</v>
      </c>
      <c r="D20" s="180">
        <v>1.42</v>
      </c>
      <c r="E20" s="259"/>
      <c r="F20" s="441" t="s">
        <v>139</v>
      </c>
      <c r="G20" s="444">
        <f>Data!G5</f>
        <v>1.6101949025487252</v>
      </c>
      <c r="H20" s="447">
        <f>(D20*(SUM(Balances!C15:C19)+Balances!C10)+D21*Balances!C6+D22*Balances!C9+D23*Balances!C11)/((SUM(Balances!C15:C19)+Balances!C10)+Balances!C6+Balances!C9+Balances!C11)</f>
        <v>1.6433152431183256</v>
      </c>
      <c r="I20" s="450" t="str">
        <f>IF(ABS((G20-H20)/H20)&lt;Calculations!$C$9,Calculations!$C$8,IF(ABS((G20-H20)/G20)&gt;Calculations!$E$9,Calculations!$E$8,Calculations!$D$8))</f>
        <v>good match</v>
      </c>
    </row>
    <row r="21" spans="2:9" ht="19.149999999999999" customHeight="1" x14ac:dyDescent="0.25">
      <c r="B21" s="243" t="s">
        <v>248</v>
      </c>
      <c r="C21" s="77">
        <v>1.8</v>
      </c>
      <c r="D21" s="71">
        <v>1.8</v>
      </c>
      <c r="E21" s="259"/>
      <c r="F21" s="442"/>
      <c r="G21" s="445"/>
      <c r="H21" s="448"/>
      <c r="I21" s="451"/>
    </row>
    <row r="22" spans="2:9" ht="19.149999999999999" customHeight="1" x14ac:dyDescent="0.25">
      <c r="B22" s="243" t="s">
        <v>249</v>
      </c>
      <c r="C22" s="77">
        <v>1.3</v>
      </c>
      <c r="D22" s="70">
        <v>1.3</v>
      </c>
      <c r="E22" s="259"/>
      <c r="F22" s="442"/>
      <c r="G22" s="445"/>
      <c r="H22" s="448"/>
      <c r="I22" s="451"/>
    </row>
    <row r="23" spans="2:9" ht="19.149999999999999" customHeight="1" thickBot="1" x14ac:dyDescent="0.3">
      <c r="B23" s="191" t="s">
        <v>250</v>
      </c>
      <c r="C23" s="84">
        <v>1.42</v>
      </c>
      <c r="D23" s="72">
        <v>1.42</v>
      </c>
      <c r="E23" s="259"/>
      <c r="F23" s="443"/>
      <c r="G23" s="446"/>
      <c r="H23" s="449"/>
      <c r="I23" s="452"/>
    </row>
    <row r="24" spans="2:9" ht="19.149999999999999" customHeight="1" thickBot="1" x14ac:dyDescent="0.3">
      <c r="B24" s="259"/>
      <c r="C24" s="259"/>
      <c r="D24" s="259"/>
      <c r="E24" s="259"/>
      <c r="F24" s="259"/>
      <c r="G24" s="259"/>
      <c r="H24" s="259"/>
      <c r="I24" s="259"/>
    </row>
    <row r="25" spans="2:9" ht="19.149999999999999" customHeight="1" thickBot="1" x14ac:dyDescent="0.3">
      <c r="B25" s="344" t="s">
        <v>231</v>
      </c>
      <c r="C25" s="345" t="s">
        <v>13</v>
      </c>
      <c r="D25" s="334" t="s">
        <v>121</v>
      </c>
      <c r="E25" s="259"/>
      <c r="F25" s="259"/>
      <c r="G25" s="259"/>
      <c r="H25" s="259"/>
      <c r="I25" s="259"/>
    </row>
    <row r="26" spans="2:9" ht="19.149999999999999" customHeight="1" x14ac:dyDescent="0.25">
      <c r="B26" s="242" t="s">
        <v>232</v>
      </c>
      <c r="C26" s="126">
        <v>0.95</v>
      </c>
      <c r="D26" s="180">
        <v>0.95</v>
      </c>
      <c r="E26" s="259"/>
      <c r="F26" s="259"/>
      <c r="G26" s="259"/>
      <c r="H26" s="259"/>
      <c r="I26" s="259"/>
    </row>
    <row r="27" spans="2:9" ht="19.149999999999999" customHeight="1" x14ac:dyDescent="0.25">
      <c r="B27" s="243" t="s">
        <v>233</v>
      </c>
      <c r="C27" s="77">
        <v>0.9</v>
      </c>
      <c r="D27" s="70">
        <v>0.9</v>
      </c>
      <c r="E27" s="259"/>
      <c r="F27" s="259"/>
      <c r="G27" s="259"/>
      <c r="H27" s="259"/>
      <c r="I27" s="259"/>
    </row>
    <row r="28" spans="2:9" ht="19.149999999999999" customHeight="1" x14ac:dyDescent="0.25">
      <c r="B28" s="243" t="s">
        <v>234</v>
      </c>
      <c r="C28" s="77">
        <v>0.6</v>
      </c>
      <c r="D28" s="70">
        <v>0.6</v>
      </c>
      <c r="E28" s="259"/>
      <c r="F28" s="259"/>
      <c r="G28" s="259"/>
      <c r="H28" s="259"/>
      <c r="I28" s="259"/>
    </row>
    <row r="29" spans="2:9" ht="18.75" customHeight="1" thickBot="1" x14ac:dyDescent="0.3">
      <c r="B29" s="191" t="s">
        <v>235</v>
      </c>
      <c r="C29" s="84">
        <v>0.5</v>
      </c>
      <c r="D29" s="72">
        <v>0.5</v>
      </c>
      <c r="E29" s="259"/>
      <c r="F29" s="259"/>
      <c r="G29" s="259"/>
      <c r="H29" s="259"/>
      <c r="I29" s="259"/>
    </row>
  </sheetData>
  <mergeCells count="9">
    <mergeCell ref="F20:F23"/>
    <mergeCell ref="G20:G23"/>
    <mergeCell ref="H20:H23"/>
    <mergeCell ref="I20:I23"/>
    <mergeCell ref="G10:I10"/>
    <mergeCell ref="G11:I11"/>
    <mergeCell ref="G12:I12"/>
    <mergeCell ref="G13:I13"/>
    <mergeCell ref="G14:I14"/>
  </mergeCells>
  <conditionalFormatting sqref="G11:I13 G14">
    <cfRule type="cellIs" dxfId="15" priority="1" operator="equal">
      <formula>"OK"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4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5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17" operator="containsText" id="{1BA10E23-7A82-4660-B025-C200E81201A4}">
            <xm:f>NOT(ISERROR(SEARCH(Calculations!$E$8,I20)))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8" operator="containsText" id="{12862939-D004-4A51-BF9C-1CAD5E4D78CC}">
            <xm:f>NOT(ISERROR(SEARCH(Calculations!$D$8,I20)))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0B8515C4-ED28-473E-B0A4-3B2C129DF418}">
            <xm:f>NOT(ISERROR(SEARCH(Calculations!$C$8,I20)))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3"/>
  <sheetViews>
    <sheetView showGridLines="0" zoomScale="88" zoomScaleNormal="115" workbookViewId="0"/>
  </sheetViews>
  <sheetFormatPr defaultColWidth="9.140625" defaultRowHeight="15" x14ac:dyDescent="0.25"/>
  <cols>
    <col min="1" max="1" width="4.7109375" style="53" customWidth="1"/>
    <col min="2" max="2" width="9.42578125" style="422" bestFit="1" customWidth="1"/>
    <col min="3" max="3" width="89.7109375" style="53" customWidth="1"/>
    <col min="4" max="5" width="16.140625" style="53" customWidth="1"/>
    <col min="6" max="6" width="16.42578125" style="53" customWidth="1"/>
    <col min="7" max="7" width="4.28515625" style="53" customWidth="1"/>
    <col min="8" max="8" width="4.140625" style="314" customWidth="1"/>
    <col min="9" max="9" width="4.7109375" style="314" customWidth="1"/>
    <col min="10" max="10" width="10.140625" style="314" bestFit="1" customWidth="1"/>
    <col min="11" max="11" width="71.140625" style="53" bestFit="1" customWidth="1"/>
    <col min="12" max="12" width="9.140625" style="53"/>
    <col min="13" max="14" width="11.85546875" style="53" bestFit="1" customWidth="1"/>
    <col min="15" max="16384" width="9.140625" style="53"/>
  </cols>
  <sheetData>
    <row r="1" spans="1:16" ht="15.75" thickBot="1" x14ac:dyDescent="0.3">
      <c r="A1" s="196"/>
      <c r="B1" s="196"/>
      <c r="C1" s="196"/>
      <c r="D1" s="196"/>
      <c r="E1" s="196"/>
      <c r="F1" s="196"/>
      <c r="I1" s="196"/>
      <c r="J1" s="196"/>
      <c r="K1" s="196"/>
      <c r="L1" s="196"/>
      <c r="M1" s="196"/>
      <c r="N1" s="196"/>
    </row>
    <row r="2" spans="1:16" ht="19.5" thickBot="1" x14ac:dyDescent="0.35">
      <c r="A2" s="462" t="s">
        <v>478</v>
      </c>
      <c r="B2" s="463"/>
      <c r="C2" s="463"/>
      <c r="D2" s="463"/>
      <c r="E2" s="463"/>
      <c r="F2" s="464"/>
      <c r="G2" s="340"/>
      <c r="H2" s="353"/>
      <c r="I2" s="462" t="s">
        <v>253</v>
      </c>
      <c r="J2" s="463"/>
      <c r="K2" s="463"/>
      <c r="L2" s="463"/>
      <c r="M2" s="463"/>
      <c r="N2" s="464"/>
    </row>
    <row r="3" spans="1:16" ht="15.75" thickBot="1" x14ac:dyDescent="0.3">
      <c r="A3" s="340"/>
      <c r="C3" s="352"/>
      <c r="D3" s="341"/>
      <c r="E3" s="341"/>
      <c r="F3" s="341"/>
      <c r="G3" s="340"/>
      <c r="H3" s="353"/>
      <c r="I3" s="327"/>
      <c r="J3" s="327"/>
      <c r="K3" s="355"/>
      <c r="L3" s="356"/>
      <c r="M3" s="356"/>
      <c r="N3" s="356"/>
    </row>
    <row r="4" spans="1:16" ht="15.75" thickBot="1" x14ac:dyDescent="0.3">
      <c r="A4" s="340"/>
      <c r="C4" s="359" t="s">
        <v>12</v>
      </c>
      <c r="D4" s="341"/>
      <c r="E4" s="341"/>
      <c r="F4" s="341"/>
      <c r="G4" s="340"/>
      <c r="H4" s="353"/>
      <c r="I4" s="327"/>
      <c r="J4" s="327"/>
      <c r="K4" s="368" t="s">
        <v>254</v>
      </c>
      <c r="L4" s="356"/>
      <c r="M4" s="356"/>
      <c r="N4" s="356"/>
    </row>
    <row r="5" spans="1:16" ht="15.75" thickBot="1" x14ac:dyDescent="0.3">
      <c r="A5" s="340"/>
      <c r="B5" s="168" t="s">
        <v>405</v>
      </c>
      <c r="C5" s="346" t="s">
        <v>0</v>
      </c>
      <c r="D5" s="331" t="s">
        <v>39</v>
      </c>
      <c r="E5" s="331" t="s">
        <v>67</v>
      </c>
      <c r="F5" s="333" t="s">
        <v>66</v>
      </c>
      <c r="G5" s="340"/>
      <c r="H5" s="353"/>
      <c r="I5" s="327"/>
      <c r="J5" s="168" t="s">
        <v>405</v>
      </c>
      <c r="K5" s="369" t="s">
        <v>0</v>
      </c>
      <c r="L5" s="371" t="s">
        <v>39</v>
      </c>
      <c r="M5" s="371" t="s">
        <v>67</v>
      </c>
      <c r="N5" s="347" t="s">
        <v>66</v>
      </c>
    </row>
    <row r="6" spans="1:16" ht="18" x14ac:dyDescent="0.25">
      <c r="A6" s="340"/>
      <c r="B6" s="423" t="s">
        <v>14</v>
      </c>
      <c r="C6" s="134" t="s">
        <v>15</v>
      </c>
      <c r="D6" s="135">
        <f>Data!C3</f>
        <v>24000</v>
      </c>
      <c r="E6" s="140" t="s">
        <v>157</v>
      </c>
      <c r="F6" s="137" t="s">
        <v>69</v>
      </c>
      <c r="G6" s="340"/>
      <c r="H6" s="353"/>
      <c r="I6" s="327"/>
      <c r="J6" s="426" t="s">
        <v>463</v>
      </c>
      <c r="K6" s="199" t="s">
        <v>248</v>
      </c>
      <c r="L6" s="207">
        <f>'Check fractions'!D21</f>
        <v>1.8</v>
      </c>
      <c r="M6" s="200" t="s">
        <v>255</v>
      </c>
      <c r="N6" s="201" t="s">
        <v>255</v>
      </c>
    </row>
    <row r="7" spans="1:16" ht="18" x14ac:dyDescent="0.25">
      <c r="A7" s="340"/>
      <c r="B7" s="424" t="s">
        <v>406</v>
      </c>
      <c r="C7" s="54" t="s">
        <v>16</v>
      </c>
      <c r="D7" s="49">
        <f>Data!C14</f>
        <v>277.39999999999998</v>
      </c>
      <c r="E7" s="57" t="s">
        <v>148</v>
      </c>
      <c r="F7" s="56" t="s">
        <v>68</v>
      </c>
      <c r="G7" s="340"/>
      <c r="H7" s="353"/>
      <c r="I7" s="327"/>
      <c r="J7" s="427" t="s">
        <v>464</v>
      </c>
      <c r="K7" s="220" t="s">
        <v>249</v>
      </c>
      <c r="L7" s="209">
        <f>'Check fractions'!D22</f>
        <v>1.3</v>
      </c>
      <c r="M7" s="198" t="s">
        <v>255</v>
      </c>
      <c r="N7" s="197" t="s">
        <v>255</v>
      </c>
    </row>
    <row r="8" spans="1:16" ht="18" x14ac:dyDescent="0.25">
      <c r="A8" s="340"/>
      <c r="B8" s="424" t="s">
        <v>407</v>
      </c>
      <c r="C8" s="54" t="s">
        <v>17</v>
      </c>
      <c r="D8" s="49">
        <f>Data!C7</f>
        <v>30</v>
      </c>
      <c r="E8" s="57" t="s">
        <v>151</v>
      </c>
      <c r="F8" s="56" t="s">
        <v>152</v>
      </c>
      <c r="G8" s="340"/>
      <c r="H8" s="353"/>
      <c r="I8" s="327"/>
      <c r="J8" s="433" t="s">
        <v>465</v>
      </c>
      <c r="K8" s="243" t="s">
        <v>247</v>
      </c>
      <c r="L8" s="209">
        <f>'Check fractions'!D20</f>
        <v>1.42</v>
      </c>
      <c r="M8" s="258" t="s">
        <v>255</v>
      </c>
      <c r="N8" s="197" t="s">
        <v>255</v>
      </c>
    </row>
    <row r="9" spans="1:16" ht="18.75" thickBot="1" x14ac:dyDescent="0.3">
      <c r="A9" s="340"/>
      <c r="B9" s="425" t="s">
        <v>408</v>
      </c>
      <c r="C9" s="59" t="s">
        <v>18</v>
      </c>
      <c r="D9" s="50">
        <f>Data!C8</f>
        <v>3.65</v>
      </c>
      <c r="E9" s="60" t="s">
        <v>154</v>
      </c>
      <c r="F9" s="61" t="s">
        <v>153</v>
      </c>
      <c r="G9" s="340"/>
      <c r="H9" s="353"/>
      <c r="I9" s="327"/>
      <c r="J9" s="435" t="s">
        <v>466</v>
      </c>
      <c r="K9" s="205" t="s">
        <v>250</v>
      </c>
      <c r="L9" s="206">
        <f>'Check fractions'!D23</f>
        <v>1.42</v>
      </c>
      <c r="M9" s="210" t="s">
        <v>255</v>
      </c>
      <c r="N9" s="211" t="s">
        <v>255</v>
      </c>
    </row>
    <row r="10" spans="1:16" ht="15.75" thickBot="1" x14ac:dyDescent="0.3">
      <c r="A10" s="138"/>
      <c r="C10" s="85"/>
      <c r="D10" s="139"/>
      <c r="E10" s="86"/>
      <c r="F10" s="86"/>
      <c r="G10" s="340"/>
      <c r="H10" s="353"/>
      <c r="I10" s="327"/>
      <c r="J10" s="422"/>
      <c r="K10" s="340"/>
      <c r="L10" s="340"/>
      <c r="M10" s="340"/>
      <c r="N10" s="340"/>
      <c r="O10" s="422"/>
      <c r="P10" s="422"/>
    </row>
    <row r="11" spans="1:16" ht="15.75" thickBot="1" x14ac:dyDescent="0.3">
      <c r="A11" s="340"/>
      <c r="C11" s="359" t="s">
        <v>176</v>
      </c>
      <c r="D11" s="257" t="s">
        <v>296</v>
      </c>
      <c r="E11" s="86"/>
      <c r="F11" s="86"/>
      <c r="G11" s="340"/>
      <c r="H11" s="353"/>
      <c r="I11" s="327"/>
      <c r="J11" s="196"/>
      <c r="K11" s="368" t="s">
        <v>297</v>
      </c>
      <c r="L11" s="357"/>
      <c r="M11" s="358"/>
      <c r="N11" s="358"/>
    </row>
    <row r="12" spans="1:16" ht="15.75" thickBot="1" x14ac:dyDescent="0.3">
      <c r="A12" s="343"/>
      <c r="B12" s="168" t="s">
        <v>405</v>
      </c>
      <c r="C12" s="346" t="s">
        <v>0</v>
      </c>
      <c r="D12" s="331" t="s">
        <v>39</v>
      </c>
      <c r="E12" s="331" t="s">
        <v>67</v>
      </c>
      <c r="F12" s="333" t="s">
        <v>66</v>
      </c>
      <c r="G12" s="340"/>
      <c r="H12" s="353"/>
      <c r="I12" s="327"/>
      <c r="J12" s="168" t="s">
        <v>405</v>
      </c>
      <c r="K12" s="370" t="s">
        <v>0</v>
      </c>
      <c r="L12" s="372" t="s">
        <v>39</v>
      </c>
      <c r="M12" s="372" t="s">
        <v>67</v>
      </c>
      <c r="N12" s="373" t="s">
        <v>66</v>
      </c>
    </row>
    <row r="13" spans="1:16" ht="18" x14ac:dyDescent="0.25">
      <c r="A13" s="340"/>
      <c r="B13" s="423" t="s">
        <v>409</v>
      </c>
      <c r="C13" s="134" t="s">
        <v>19</v>
      </c>
      <c r="D13" s="135">
        <f>Data!C10</f>
        <v>330</v>
      </c>
      <c r="E13" s="136" t="s">
        <v>155</v>
      </c>
      <c r="F13" s="137" t="s">
        <v>156</v>
      </c>
      <c r="G13" s="340"/>
      <c r="H13" s="353"/>
      <c r="I13" s="327"/>
      <c r="J13" s="434" t="s">
        <v>467</v>
      </c>
      <c r="K13" s="202" t="s">
        <v>256</v>
      </c>
      <c r="L13" s="208">
        <f>'Check fractions'!D26</f>
        <v>0.95</v>
      </c>
      <c r="M13" s="204" t="s">
        <v>257</v>
      </c>
      <c r="N13" s="203" t="s">
        <v>257</v>
      </c>
    </row>
    <row r="14" spans="1:16" ht="18.75" thickBot="1" x14ac:dyDescent="0.3">
      <c r="A14" s="340"/>
      <c r="B14" s="425" t="s">
        <v>20</v>
      </c>
      <c r="C14" s="59" t="s">
        <v>20</v>
      </c>
      <c r="D14" s="50">
        <f>Data!C11</f>
        <v>7.2</v>
      </c>
      <c r="E14" s="60" t="s">
        <v>21</v>
      </c>
      <c r="F14" s="61" t="s">
        <v>21</v>
      </c>
      <c r="G14" s="340"/>
      <c r="H14" s="353"/>
      <c r="I14" s="327"/>
      <c r="J14" s="427" t="s">
        <v>468</v>
      </c>
      <c r="K14" s="220" t="s">
        <v>233</v>
      </c>
      <c r="L14" s="209">
        <f>'Check fractions'!D27</f>
        <v>0.9</v>
      </c>
      <c r="M14" s="198" t="s">
        <v>21</v>
      </c>
      <c r="N14" s="197" t="s">
        <v>21</v>
      </c>
    </row>
    <row r="15" spans="1:16" ht="18.75" thickBot="1" x14ac:dyDescent="0.3">
      <c r="A15" s="340"/>
      <c r="C15" s="352"/>
      <c r="D15" s="341"/>
      <c r="E15" s="341"/>
      <c r="F15" s="341"/>
      <c r="G15" s="340"/>
      <c r="H15" s="353"/>
      <c r="I15" s="327"/>
      <c r="J15" s="427" t="s">
        <v>469</v>
      </c>
      <c r="K15" s="220" t="s">
        <v>234</v>
      </c>
      <c r="L15" s="209">
        <f>'Check fractions'!D28</f>
        <v>0.6</v>
      </c>
      <c r="M15" s="198" t="s">
        <v>21</v>
      </c>
      <c r="N15" s="197" t="s">
        <v>21</v>
      </c>
    </row>
    <row r="16" spans="1:16" ht="18.75" thickBot="1" x14ac:dyDescent="0.3">
      <c r="A16" s="340"/>
      <c r="C16" s="359" t="s">
        <v>22</v>
      </c>
      <c r="D16" s="341"/>
      <c r="E16" s="341"/>
      <c r="F16" s="341"/>
      <c r="G16" s="340"/>
      <c r="H16" s="353"/>
      <c r="I16" s="327"/>
      <c r="J16" s="435" t="s">
        <v>470</v>
      </c>
      <c r="K16" s="205" t="s">
        <v>235</v>
      </c>
      <c r="L16" s="206">
        <f>'Check fractions'!D29</f>
        <v>0.5</v>
      </c>
      <c r="M16" s="210" t="s">
        <v>21</v>
      </c>
      <c r="N16" s="211" t="s">
        <v>21</v>
      </c>
    </row>
    <row r="17" spans="1:16" ht="15.75" thickBot="1" x14ac:dyDescent="0.3">
      <c r="A17" s="340"/>
      <c r="B17" s="168" t="s">
        <v>405</v>
      </c>
      <c r="C17" s="346" t="s">
        <v>0</v>
      </c>
      <c r="D17" s="331" t="s">
        <v>39</v>
      </c>
      <c r="E17" s="331" t="s">
        <v>67</v>
      </c>
      <c r="F17" s="333" t="s">
        <v>66</v>
      </c>
      <c r="G17" s="340"/>
      <c r="H17" s="353"/>
      <c r="I17" s="353"/>
      <c r="J17" s="422"/>
      <c r="K17" s="340"/>
      <c r="L17" s="340"/>
      <c r="M17" s="340"/>
      <c r="N17" s="340"/>
    </row>
    <row r="18" spans="1:16" ht="18" x14ac:dyDescent="0.25">
      <c r="A18" s="340"/>
      <c r="B18" s="426" t="s">
        <v>410</v>
      </c>
      <c r="C18" s="199" t="s">
        <v>258</v>
      </c>
      <c r="D18" s="438">
        <f>Data!G4</f>
        <v>89.052069425901209</v>
      </c>
      <c r="E18" s="141" t="s">
        <v>107</v>
      </c>
      <c r="F18" s="142" t="s">
        <v>107</v>
      </c>
      <c r="G18" s="340"/>
      <c r="H18" s="353"/>
      <c r="I18" s="353"/>
      <c r="J18" s="353"/>
      <c r="K18" s="340"/>
      <c r="L18" s="340"/>
      <c r="M18" s="340"/>
      <c r="N18" s="340"/>
    </row>
    <row r="19" spans="1:16" ht="19.5" customHeight="1" x14ac:dyDescent="0.25">
      <c r="A19" s="340"/>
      <c r="B19" s="427" t="s">
        <v>411</v>
      </c>
      <c r="C19" s="220" t="s">
        <v>236</v>
      </c>
      <c r="D19" s="439">
        <f>Data!G15</f>
        <v>61.283345349675564</v>
      </c>
      <c r="E19" s="62" t="s">
        <v>107</v>
      </c>
      <c r="F19" s="63" t="s">
        <v>107</v>
      </c>
      <c r="G19" s="340"/>
      <c r="H19" s="353"/>
      <c r="I19" s="353"/>
      <c r="J19" s="353"/>
      <c r="K19" s="340"/>
      <c r="L19" s="340"/>
      <c r="M19" s="340"/>
      <c r="N19" s="340"/>
    </row>
    <row r="20" spans="1:16" ht="19.5" customHeight="1" x14ac:dyDescent="0.25">
      <c r="A20" s="340"/>
      <c r="B20" s="427" t="s">
        <v>412</v>
      </c>
      <c r="C20" s="220" t="s">
        <v>237</v>
      </c>
      <c r="D20" s="439">
        <f>Data!G16</f>
        <v>30.641672674837782</v>
      </c>
      <c r="E20" s="62" t="s">
        <v>107</v>
      </c>
      <c r="F20" s="63" t="s">
        <v>107</v>
      </c>
      <c r="G20" s="340"/>
      <c r="H20" s="353"/>
      <c r="I20" s="353"/>
      <c r="J20" s="353"/>
      <c r="K20" s="340"/>
      <c r="L20" s="340"/>
      <c r="M20" s="340"/>
      <c r="N20" s="340"/>
    </row>
    <row r="21" spans="1:16" ht="19.5" customHeight="1" x14ac:dyDescent="0.25">
      <c r="A21" s="340"/>
      <c r="B21" s="427" t="s">
        <v>413</v>
      </c>
      <c r="C21" s="220" t="s">
        <v>238</v>
      </c>
      <c r="D21" s="439">
        <f>Data!G22</f>
        <v>11.76470588235294</v>
      </c>
      <c r="E21" s="62" t="s">
        <v>107</v>
      </c>
      <c r="F21" s="63" t="s">
        <v>107</v>
      </c>
      <c r="G21" s="340"/>
      <c r="H21" s="353"/>
      <c r="I21" s="353"/>
      <c r="J21" s="353"/>
      <c r="K21" s="340"/>
      <c r="L21" s="340"/>
      <c r="M21" s="340"/>
      <c r="N21" s="340"/>
    </row>
    <row r="22" spans="1:16" ht="19.5" customHeight="1" x14ac:dyDescent="0.25">
      <c r="A22" s="340"/>
      <c r="B22" s="427" t="s">
        <v>414</v>
      </c>
      <c r="C22" s="220" t="s">
        <v>239</v>
      </c>
      <c r="D22" s="439">
        <f>Data!G17</f>
        <v>11.76470588235294</v>
      </c>
      <c r="E22" s="62" t="s">
        <v>107</v>
      </c>
      <c r="F22" s="63" t="s">
        <v>107</v>
      </c>
      <c r="G22" s="340"/>
      <c r="H22" s="353"/>
      <c r="I22" s="353"/>
      <c r="J22" s="353"/>
      <c r="K22" s="340"/>
      <c r="L22" s="340"/>
      <c r="M22" s="340"/>
      <c r="N22" s="340"/>
    </row>
    <row r="23" spans="1:16" ht="19.5" customHeight="1" x14ac:dyDescent="0.25">
      <c r="A23" s="340"/>
      <c r="B23" s="427" t="s">
        <v>415</v>
      </c>
      <c r="C23" s="220" t="s">
        <v>240</v>
      </c>
      <c r="D23" s="439">
        <f>'Check fractions'!D10</f>
        <v>9.1</v>
      </c>
      <c r="E23" s="62" t="s">
        <v>107</v>
      </c>
      <c r="F23" s="63" t="s">
        <v>107</v>
      </c>
      <c r="G23" s="340"/>
      <c r="H23" s="353"/>
      <c r="I23" s="353"/>
      <c r="J23" s="353"/>
      <c r="K23" s="340"/>
      <c r="L23" s="340"/>
      <c r="M23" s="340"/>
      <c r="N23" s="340"/>
    </row>
    <row r="24" spans="1:16" ht="19.5" customHeight="1" x14ac:dyDescent="0.25">
      <c r="A24" s="340"/>
      <c r="B24" s="427" t="s">
        <v>416</v>
      </c>
      <c r="C24" s="220" t="s">
        <v>363</v>
      </c>
      <c r="D24" s="439">
        <f>'Check fractions'!D11</f>
        <v>3.25</v>
      </c>
      <c r="E24" s="62" t="s">
        <v>107</v>
      </c>
      <c r="F24" s="63" t="s">
        <v>107</v>
      </c>
      <c r="G24" s="340"/>
      <c r="H24" s="353"/>
      <c r="I24" s="353"/>
      <c r="J24" s="353"/>
      <c r="K24" s="340"/>
      <c r="L24" s="340"/>
      <c r="M24" s="340"/>
      <c r="N24" s="340"/>
    </row>
    <row r="25" spans="1:16" ht="19.5" customHeight="1" x14ac:dyDescent="0.25">
      <c r="A25" s="340"/>
      <c r="B25" s="427" t="s">
        <v>417</v>
      </c>
      <c r="C25" s="220" t="s">
        <v>302</v>
      </c>
      <c r="D25" s="439">
        <f>'Check fractions'!D12</f>
        <v>20</v>
      </c>
      <c r="E25" s="62" t="s">
        <v>107</v>
      </c>
      <c r="F25" s="63" t="s">
        <v>107</v>
      </c>
      <c r="G25" s="340"/>
      <c r="H25" s="353"/>
      <c r="I25" s="353"/>
      <c r="J25" s="353"/>
      <c r="K25" s="340"/>
      <c r="L25" s="340"/>
      <c r="M25" s="340"/>
      <c r="N25" s="340"/>
    </row>
    <row r="26" spans="1:16" s="138" customFormat="1" ht="19.5" customHeight="1" x14ac:dyDescent="0.25">
      <c r="A26" s="340"/>
      <c r="B26" s="427" t="s">
        <v>418</v>
      </c>
      <c r="C26" s="220" t="s">
        <v>242</v>
      </c>
      <c r="D26" s="439">
        <f>'Check fractions'!D13</f>
        <v>20</v>
      </c>
      <c r="E26" s="62" t="s">
        <v>107</v>
      </c>
      <c r="F26" s="63" t="s">
        <v>107</v>
      </c>
      <c r="G26" s="340"/>
      <c r="H26" s="315"/>
      <c r="I26" s="315"/>
      <c r="J26" s="353"/>
      <c r="O26" s="53"/>
      <c r="P26" s="53"/>
    </row>
    <row r="27" spans="1:16" s="138" customFormat="1" ht="19.5" customHeight="1" x14ac:dyDescent="0.25">
      <c r="A27" s="340"/>
      <c r="B27" s="427" t="s">
        <v>419</v>
      </c>
      <c r="C27" s="220" t="s">
        <v>259</v>
      </c>
      <c r="D27" s="439">
        <f>Data!G23</f>
        <v>80</v>
      </c>
      <c r="E27" s="62" t="s">
        <v>107</v>
      </c>
      <c r="F27" s="63" t="s">
        <v>107</v>
      </c>
      <c r="G27" s="340"/>
      <c r="H27" s="315"/>
      <c r="I27" s="315"/>
      <c r="J27" s="315"/>
    </row>
    <row r="28" spans="1:16" ht="19.5" customHeight="1" x14ac:dyDescent="0.25">
      <c r="A28" s="340"/>
      <c r="B28" s="427" t="s">
        <v>420</v>
      </c>
      <c r="C28" s="220" t="s">
        <v>260</v>
      </c>
      <c r="D28" s="439">
        <f>Data!G24</f>
        <v>68.493150684931507</v>
      </c>
      <c r="E28" s="62" t="s">
        <v>107</v>
      </c>
      <c r="F28" s="63" t="s">
        <v>107</v>
      </c>
      <c r="G28" s="340"/>
      <c r="H28" s="353"/>
      <c r="I28" s="353"/>
      <c r="J28" s="315"/>
      <c r="K28" s="340"/>
      <c r="L28" s="340"/>
      <c r="M28" s="340"/>
      <c r="N28" s="340"/>
      <c r="O28" s="138"/>
      <c r="P28" s="138"/>
    </row>
    <row r="29" spans="1:16" s="58" customFormat="1" ht="19.5" customHeight="1" x14ac:dyDescent="0.25">
      <c r="A29" s="340"/>
      <c r="B29" s="427" t="s">
        <v>421</v>
      </c>
      <c r="C29" s="220" t="s">
        <v>243</v>
      </c>
      <c r="D29" s="439">
        <f>'Check fractions'!D14</f>
        <v>4</v>
      </c>
      <c r="E29" s="62" t="s">
        <v>107</v>
      </c>
      <c r="F29" s="63" t="s">
        <v>107</v>
      </c>
      <c r="G29" s="340"/>
      <c r="H29" s="343"/>
      <c r="I29" s="343"/>
      <c r="J29" s="353"/>
      <c r="K29" s="343"/>
      <c r="L29" s="343"/>
      <c r="M29" s="343"/>
      <c r="N29" s="343"/>
      <c r="O29" s="53"/>
      <c r="P29" s="53"/>
    </row>
    <row r="30" spans="1:16" ht="19.5" customHeight="1" x14ac:dyDescent="0.25">
      <c r="A30" s="340"/>
      <c r="B30" s="427" t="s">
        <v>422</v>
      </c>
      <c r="C30" s="220" t="s">
        <v>244</v>
      </c>
      <c r="D30" s="439">
        <f>'Check fractions'!D15</f>
        <v>1</v>
      </c>
      <c r="E30" s="62" t="s">
        <v>107</v>
      </c>
      <c r="F30" s="63" t="s">
        <v>107</v>
      </c>
      <c r="G30" s="340"/>
      <c r="H30" s="353"/>
      <c r="I30" s="353"/>
      <c r="J30" s="343"/>
      <c r="K30" s="340"/>
      <c r="L30" s="340"/>
      <c r="M30" s="340"/>
      <c r="N30" s="340"/>
      <c r="O30" s="58"/>
      <c r="P30" s="58"/>
    </row>
    <row r="31" spans="1:16" ht="19.5" customHeight="1" x14ac:dyDescent="0.25">
      <c r="A31" s="340"/>
      <c r="B31" s="427" t="s">
        <v>423</v>
      </c>
      <c r="C31" s="220" t="s">
        <v>245</v>
      </c>
      <c r="D31" s="439">
        <f>'Check fractions'!D16</f>
        <v>1</v>
      </c>
      <c r="E31" s="62" t="s">
        <v>107</v>
      </c>
      <c r="F31" s="63" t="s">
        <v>107</v>
      </c>
      <c r="G31" s="340"/>
      <c r="H31" s="353"/>
      <c r="I31" s="353"/>
      <c r="J31" s="353"/>
      <c r="K31" s="340"/>
      <c r="L31" s="340"/>
      <c r="M31" s="340"/>
      <c r="N31" s="340"/>
    </row>
    <row r="32" spans="1:16" ht="19.5" customHeight="1" thickBot="1" x14ac:dyDescent="0.3">
      <c r="A32" s="340"/>
      <c r="B32" s="428" t="s">
        <v>424</v>
      </c>
      <c r="C32" s="212" t="s">
        <v>246</v>
      </c>
      <c r="D32" s="440">
        <f>'Check fractions'!D17</f>
        <v>0.1</v>
      </c>
      <c r="E32" s="60" t="s">
        <v>107</v>
      </c>
      <c r="F32" s="143" t="s">
        <v>107</v>
      </c>
      <c r="G32" s="340"/>
      <c r="H32" s="353"/>
      <c r="I32" s="353"/>
      <c r="J32" s="353"/>
      <c r="K32" s="340"/>
      <c r="L32" s="340"/>
      <c r="M32" s="340"/>
      <c r="N32" s="340"/>
    </row>
    <row r="33" spans="1:14" ht="19.5" customHeight="1" thickBot="1" x14ac:dyDescent="0.3">
      <c r="A33" s="340"/>
      <c r="C33" s="340"/>
      <c r="D33" s="340"/>
      <c r="E33" s="340"/>
      <c r="F33" s="340"/>
      <c r="G33" s="340"/>
      <c r="H33" s="353"/>
      <c r="I33" s="353"/>
      <c r="J33" s="353"/>
      <c r="K33" s="340"/>
      <c r="L33" s="340"/>
      <c r="M33" s="340"/>
      <c r="N33" s="340"/>
    </row>
    <row r="34" spans="1:14" ht="19.5" customHeight="1" thickBot="1" x14ac:dyDescent="0.3">
      <c r="A34" s="340"/>
      <c r="C34" s="360" t="s">
        <v>172</v>
      </c>
      <c r="D34" s="341"/>
      <c r="E34" s="341"/>
      <c r="F34" s="341"/>
      <c r="G34" s="340"/>
      <c r="H34" s="354"/>
      <c r="I34" s="353"/>
      <c r="J34" s="353"/>
      <c r="K34" s="340"/>
      <c r="L34" s="340"/>
      <c r="M34" s="340"/>
      <c r="N34" s="340"/>
    </row>
    <row r="35" spans="1:14" ht="19.5" customHeight="1" thickBot="1" x14ac:dyDescent="0.3">
      <c r="A35" s="340"/>
      <c r="B35" s="168" t="s">
        <v>405</v>
      </c>
      <c r="C35" s="348" t="s">
        <v>0</v>
      </c>
      <c r="D35" s="332" t="s">
        <v>39</v>
      </c>
      <c r="E35" s="332" t="s">
        <v>67</v>
      </c>
      <c r="F35" s="334" t="s">
        <v>66</v>
      </c>
      <c r="G35" s="340"/>
      <c r="H35" s="354"/>
      <c r="I35" s="353"/>
      <c r="J35" s="353"/>
      <c r="K35" s="340"/>
      <c r="L35" s="340"/>
      <c r="M35" s="340"/>
      <c r="N35" s="340"/>
    </row>
    <row r="36" spans="1:14" ht="19.5" customHeight="1" x14ac:dyDescent="0.25">
      <c r="A36" s="340"/>
      <c r="B36" s="429" t="s">
        <v>425</v>
      </c>
      <c r="C36" s="78" t="s">
        <v>120</v>
      </c>
      <c r="D36" s="125">
        <f>Data!C26</f>
        <v>150</v>
      </c>
      <c r="E36" s="362" t="s">
        <v>167</v>
      </c>
      <c r="F36" s="363" t="s">
        <v>179</v>
      </c>
      <c r="G36" s="340"/>
      <c r="H36" s="354"/>
      <c r="I36" s="353"/>
      <c r="J36" s="353"/>
      <c r="K36" s="340"/>
      <c r="L36" s="340"/>
      <c r="M36" s="340"/>
      <c r="N36" s="340"/>
    </row>
    <row r="37" spans="1:14" ht="19.5" customHeight="1" x14ac:dyDescent="0.25">
      <c r="A37" s="340"/>
      <c r="B37" s="424" t="s">
        <v>426</v>
      </c>
      <c r="C37" s="54" t="s">
        <v>11</v>
      </c>
      <c r="D37" s="49">
        <f>Data!C27</f>
        <v>15</v>
      </c>
      <c r="E37" s="364" t="s">
        <v>169</v>
      </c>
      <c r="F37" s="365" t="s">
        <v>180</v>
      </c>
      <c r="G37" s="340"/>
      <c r="H37" s="354"/>
      <c r="I37" s="353"/>
      <c r="J37" s="353"/>
      <c r="K37" s="340"/>
      <c r="L37" s="340"/>
      <c r="M37" s="340"/>
      <c r="N37" s="340"/>
    </row>
    <row r="38" spans="1:14" ht="19.5" customHeight="1" x14ac:dyDescent="0.25">
      <c r="A38" s="340"/>
      <c r="B38" s="430" t="s">
        <v>427</v>
      </c>
      <c r="C38" s="133" t="s">
        <v>177</v>
      </c>
      <c r="D38" s="49">
        <f>Data!C28</f>
        <v>16</v>
      </c>
      <c r="E38" s="364" t="s">
        <v>178</v>
      </c>
      <c r="F38" s="365" t="s">
        <v>180</v>
      </c>
      <c r="G38" s="340"/>
      <c r="H38" s="354"/>
      <c r="I38" s="353"/>
      <c r="J38" s="353"/>
      <c r="K38" s="340"/>
      <c r="L38" s="340"/>
      <c r="M38" s="340"/>
      <c r="N38" s="340"/>
    </row>
    <row r="39" spans="1:14" ht="19.5" customHeight="1" x14ac:dyDescent="0.25">
      <c r="A39" s="340"/>
      <c r="B39" s="430" t="s">
        <v>428</v>
      </c>
      <c r="C39" s="133" t="s">
        <v>381</v>
      </c>
      <c r="D39" s="49">
        <f>Data!C29</f>
        <v>300</v>
      </c>
      <c r="E39" s="364" t="s">
        <v>168</v>
      </c>
      <c r="F39" s="365" t="s">
        <v>181</v>
      </c>
      <c r="G39" s="340"/>
      <c r="H39" s="354"/>
      <c r="I39" s="353"/>
      <c r="J39" s="353"/>
      <c r="K39" s="340"/>
      <c r="L39" s="340"/>
      <c r="M39" s="340"/>
      <c r="N39" s="340"/>
    </row>
    <row r="40" spans="1:14" ht="19.5" customHeight="1" thickBot="1" x14ac:dyDescent="0.3">
      <c r="A40" s="340"/>
      <c r="B40" s="425" t="s">
        <v>429</v>
      </c>
      <c r="C40" s="59" t="s">
        <v>373</v>
      </c>
      <c r="D40" s="50">
        <f>Data!C30</f>
        <v>110</v>
      </c>
      <c r="E40" s="366" t="s">
        <v>182</v>
      </c>
      <c r="F40" s="367" t="s">
        <v>183</v>
      </c>
      <c r="G40" s="340"/>
      <c r="H40" s="354"/>
      <c r="I40" s="353"/>
      <c r="J40" s="353"/>
      <c r="K40" s="340"/>
      <c r="L40" s="340"/>
      <c r="M40" s="340"/>
      <c r="N40" s="340"/>
    </row>
    <row r="41" spans="1:14" ht="19.5" customHeight="1" thickBot="1" x14ac:dyDescent="0.3">
      <c r="A41" s="340"/>
      <c r="C41" s="64"/>
      <c r="D41" s="65"/>
      <c r="E41" s="65"/>
      <c r="F41" s="65"/>
      <c r="G41" s="340"/>
      <c r="H41" s="354"/>
      <c r="I41" s="353"/>
      <c r="J41" s="353"/>
      <c r="K41" s="340"/>
      <c r="L41" s="340"/>
      <c r="M41" s="340"/>
      <c r="N41" s="340"/>
    </row>
    <row r="42" spans="1:14" ht="19.5" customHeight="1" thickBot="1" x14ac:dyDescent="0.3">
      <c r="A42" s="340"/>
      <c r="C42" s="360" t="s">
        <v>147</v>
      </c>
      <c r="D42" s="341"/>
      <c r="E42" s="341"/>
      <c r="F42" s="341"/>
      <c r="G42" s="340"/>
      <c r="H42" s="354"/>
      <c r="I42" s="353"/>
      <c r="J42" s="353"/>
      <c r="K42" s="340"/>
      <c r="L42" s="340"/>
      <c r="M42" s="340"/>
      <c r="N42" s="340"/>
    </row>
    <row r="43" spans="1:14" ht="19.5" customHeight="1" thickBot="1" x14ac:dyDescent="0.3">
      <c r="A43" s="340"/>
      <c r="B43" s="168" t="s">
        <v>405</v>
      </c>
      <c r="C43" s="361" t="s">
        <v>0</v>
      </c>
      <c r="D43" s="331" t="s">
        <v>39</v>
      </c>
      <c r="E43" s="331" t="s">
        <v>67</v>
      </c>
      <c r="F43" s="333" t="s">
        <v>66</v>
      </c>
      <c r="G43" s="340"/>
      <c r="H43" s="354"/>
      <c r="I43" s="353"/>
      <c r="J43" s="353"/>
      <c r="K43" s="340"/>
      <c r="L43" s="340"/>
      <c r="M43" s="340"/>
      <c r="N43" s="340"/>
    </row>
    <row r="44" spans="1:14" ht="19.5" customHeight="1" x14ac:dyDescent="0.25">
      <c r="A44" s="340"/>
      <c r="B44" s="423" t="s">
        <v>430</v>
      </c>
      <c r="C44" s="134" t="s">
        <v>261</v>
      </c>
      <c r="D44" s="144">
        <v>0</v>
      </c>
      <c r="E44" s="136" t="s">
        <v>149</v>
      </c>
      <c r="F44" s="137" t="s">
        <v>150</v>
      </c>
      <c r="G44" s="340"/>
      <c r="H44" s="354"/>
      <c r="I44" s="353"/>
      <c r="J44" s="353"/>
      <c r="K44" s="340"/>
      <c r="L44" s="340"/>
      <c r="M44" s="340"/>
      <c r="N44" s="340"/>
    </row>
    <row r="45" spans="1:14" ht="19.5" customHeight="1" x14ac:dyDescent="0.25">
      <c r="A45" s="340"/>
      <c r="B45" s="31" t="s">
        <v>431</v>
      </c>
      <c r="C45" s="66" t="s">
        <v>262</v>
      </c>
      <c r="D45" s="115">
        <v>0</v>
      </c>
      <c r="E45" s="57" t="s">
        <v>148</v>
      </c>
      <c r="F45" s="56" t="s">
        <v>68</v>
      </c>
      <c r="G45" s="340"/>
      <c r="H45" s="354"/>
      <c r="I45" s="353"/>
      <c r="J45" s="353"/>
      <c r="K45" s="340"/>
      <c r="L45" s="340"/>
      <c r="M45" s="340"/>
      <c r="N45" s="340"/>
    </row>
    <row r="46" spans="1:14" ht="19.5" customHeight="1" x14ac:dyDescent="0.25">
      <c r="A46" s="340"/>
      <c r="B46" s="424" t="s">
        <v>432</v>
      </c>
      <c r="C46" s="54" t="s">
        <v>263</v>
      </c>
      <c r="D46" s="316">
        <v>4.2999999999999997E-2</v>
      </c>
      <c r="E46" s="57" t="s">
        <v>148</v>
      </c>
      <c r="F46" s="56" t="s">
        <v>68</v>
      </c>
      <c r="G46" s="340"/>
      <c r="H46" s="354"/>
      <c r="I46" s="353"/>
      <c r="J46" s="353"/>
      <c r="K46" s="340"/>
      <c r="L46" s="340"/>
      <c r="M46" s="340"/>
      <c r="N46" s="340"/>
    </row>
    <row r="47" spans="1:14" ht="19.5" customHeight="1" x14ac:dyDescent="0.25">
      <c r="A47" s="340"/>
      <c r="B47" s="31" t="s">
        <v>433</v>
      </c>
      <c r="C47" s="66" t="s">
        <v>283</v>
      </c>
      <c r="D47" s="316">
        <v>4.2999999999999997E-2</v>
      </c>
      <c r="E47" s="57" t="s">
        <v>148</v>
      </c>
      <c r="F47" s="56" t="s">
        <v>68</v>
      </c>
      <c r="G47" s="340"/>
      <c r="H47" s="354"/>
      <c r="I47" s="353"/>
      <c r="J47" s="353"/>
      <c r="K47" s="340"/>
      <c r="L47" s="340"/>
      <c r="M47" s="340"/>
      <c r="N47" s="340"/>
    </row>
    <row r="48" spans="1:14" ht="19.5" customHeight="1" x14ac:dyDescent="0.25">
      <c r="A48" s="340"/>
      <c r="B48" s="31" t="s">
        <v>434</v>
      </c>
      <c r="C48" s="66" t="s">
        <v>264</v>
      </c>
      <c r="D48" s="115">
        <v>0</v>
      </c>
      <c r="E48" s="57" t="s">
        <v>148</v>
      </c>
      <c r="F48" s="56" t="s">
        <v>68</v>
      </c>
      <c r="G48" s="340"/>
      <c r="H48" s="354"/>
      <c r="I48" s="353"/>
      <c r="J48" s="353"/>
      <c r="K48" s="340"/>
      <c r="L48" s="340"/>
      <c r="M48" s="340"/>
      <c r="N48" s="340"/>
    </row>
    <row r="49" spans="1:14" ht="19.5" customHeight="1" x14ac:dyDescent="0.25">
      <c r="A49" s="340"/>
      <c r="B49" s="31" t="s">
        <v>435</v>
      </c>
      <c r="C49" s="66" t="s">
        <v>364</v>
      </c>
      <c r="D49" s="316">
        <v>4.2999999999999997E-2</v>
      </c>
      <c r="E49" s="57" t="s">
        <v>148</v>
      </c>
      <c r="F49" s="56" t="s">
        <v>68</v>
      </c>
      <c r="G49" s="340"/>
      <c r="H49" s="353"/>
      <c r="I49" s="353"/>
      <c r="J49" s="353"/>
      <c r="K49" s="340"/>
      <c r="L49" s="340"/>
      <c r="M49" s="340"/>
      <c r="N49" s="340"/>
    </row>
    <row r="50" spans="1:14" ht="19.5" customHeight="1" x14ac:dyDescent="0.25">
      <c r="A50" s="340"/>
      <c r="B50" s="31" t="s">
        <v>436</v>
      </c>
      <c r="C50" s="66" t="s">
        <v>265</v>
      </c>
      <c r="D50" s="316">
        <v>4.2999999999999997E-2</v>
      </c>
      <c r="E50" s="57" t="s">
        <v>148</v>
      </c>
      <c r="F50" s="56" t="s">
        <v>68</v>
      </c>
      <c r="G50" s="340"/>
      <c r="H50" s="353"/>
      <c r="I50" s="353"/>
      <c r="J50" s="353"/>
      <c r="K50" s="340"/>
      <c r="L50" s="340"/>
      <c r="M50" s="340"/>
      <c r="N50" s="340"/>
    </row>
    <row r="51" spans="1:14" ht="19.5" customHeight="1" x14ac:dyDescent="0.25">
      <c r="A51" s="340"/>
      <c r="B51" s="31" t="s">
        <v>437</v>
      </c>
      <c r="C51" s="66" t="s">
        <v>266</v>
      </c>
      <c r="D51" s="316">
        <v>4.2999999999999997E-2</v>
      </c>
      <c r="E51" s="57" t="s">
        <v>148</v>
      </c>
      <c r="F51" s="56" t="s">
        <v>68</v>
      </c>
      <c r="G51" s="340"/>
      <c r="H51" s="353"/>
      <c r="I51" s="353"/>
      <c r="J51" s="353"/>
      <c r="K51" s="340"/>
      <c r="L51" s="340"/>
      <c r="M51" s="340"/>
      <c r="N51" s="340"/>
    </row>
    <row r="52" spans="1:14" ht="19.5" customHeight="1" x14ac:dyDescent="0.25">
      <c r="A52" s="340"/>
      <c r="B52" s="31" t="s">
        <v>438</v>
      </c>
      <c r="C52" s="66" t="s">
        <v>267</v>
      </c>
      <c r="D52" s="316">
        <v>4.2999999999999997E-2</v>
      </c>
      <c r="E52" s="57" t="s">
        <v>148</v>
      </c>
      <c r="F52" s="56" t="s">
        <v>68</v>
      </c>
      <c r="G52" s="340"/>
      <c r="H52" s="353"/>
      <c r="I52" s="353"/>
      <c r="J52" s="353"/>
      <c r="K52" s="340"/>
      <c r="L52" s="340"/>
      <c r="M52" s="340"/>
      <c r="N52" s="340"/>
    </row>
    <row r="53" spans="1:14" ht="19.5" customHeight="1" x14ac:dyDescent="0.25">
      <c r="A53" s="340"/>
      <c r="B53" s="31" t="s">
        <v>439</v>
      </c>
      <c r="C53" s="66" t="s">
        <v>268</v>
      </c>
      <c r="D53" s="316">
        <v>4.2999999999999997E-2</v>
      </c>
      <c r="E53" s="57" t="s">
        <v>148</v>
      </c>
      <c r="F53" s="56" t="s">
        <v>68</v>
      </c>
      <c r="G53" s="340"/>
      <c r="H53" s="353"/>
      <c r="I53" s="353"/>
      <c r="J53" s="353"/>
      <c r="K53" s="340"/>
      <c r="L53" s="340"/>
      <c r="M53" s="340"/>
      <c r="N53" s="340"/>
    </row>
    <row r="54" spans="1:14" ht="19.5" customHeight="1" x14ac:dyDescent="0.25">
      <c r="A54" s="340"/>
      <c r="B54" s="31" t="s">
        <v>440</v>
      </c>
      <c r="C54" s="66" t="s">
        <v>269</v>
      </c>
      <c r="D54" s="49">
        <f>Data!C25</f>
        <v>0</v>
      </c>
      <c r="E54" s="57" t="s">
        <v>151</v>
      </c>
      <c r="F54" s="56" t="s">
        <v>152</v>
      </c>
      <c r="G54" s="340"/>
      <c r="H54" s="353"/>
      <c r="I54" s="353"/>
      <c r="J54" s="353"/>
      <c r="K54" s="340"/>
      <c r="L54" s="340"/>
      <c r="M54" s="340"/>
      <c r="N54" s="340"/>
    </row>
    <row r="55" spans="1:14" ht="19.5" customHeight="1" x14ac:dyDescent="0.25">
      <c r="A55" s="340"/>
      <c r="B55" s="424" t="s">
        <v>441</v>
      </c>
      <c r="C55" s="54" t="s">
        <v>270</v>
      </c>
      <c r="D55" s="115">
        <v>16</v>
      </c>
      <c r="E55" s="57" t="s">
        <v>151</v>
      </c>
      <c r="F55" s="56" t="s">
        <v>152</v>
      </c>
      <c r="G55" s="340"/>
      <c r="H55" s="353"/>
      <c r="I55" s="353"/>
      <c r="J55" s="353"/>
      <c r="K55" s="340"/>
      <c r="L55" s="340"/>
      <c r="M55" s="340"/>
      <c r="N55" s="340"/>
    </row>
    <row r="56" spans="1:14" ht="19.5" customHeight="1" x14ac:dyDescent="0.25">
      <c r="A56" s="340"/>
      <c r="B56" s="31" t="s">
        <v>442</v>
      </c>
      <c r="C56" s="66" t="s">
        <v>271</v>
      </c>
      <c r="D56" s="316">
        <v>4.2999999999999997E-2</v>
      </c>
      <c r="E56" s="57" t="s">
        <v>154</v>
      </c>
      <c r="F56" s="56" t="s">
        <v>153</v>
      </c>
      <c r="G56" s="340"/>
      <c r="H56" s="353"/>
      <c r="I56" s="353"/>
      <c r="J56" s="353"/>
      <c r="K56" s="340"/>
      <c r="L56" s="340"/>
      <c r="M56" s="340"/>
      <c r="N56" s="340"/>
    </row>
    <row r="57" spans="1:14" ht="19.5" customHeight="1" x14ac:dyDescent="0.25">
      <c r="A57" s="340"/>
      <c r="B57" s="31" t="s">
        <v>443</v>
      </c>
      <c r="C57" s="66" t="s">
        <v>272</v>
      </c>
      <c r="D57" s="115">
        <v>0</v>
      </c>
      <c r="E57" s="57" t="s">
        <v>148</v>
      </c>
      <c r="F57" s="56" t="s">
        <v>68</v>
      </c>
      <c r="G57" s="340"/>
      <c r="H57" s="353"/>
      <c r="I57" s="353"/>
      <c r="J57" s="353"/>
      <c r="K57" s="340"/>
      <c r="L57" s="340"/>
      <c r="M57" s="340"/>
      <c r="N57" s="340"/>
    </row>
    <row r="58" spans="1:14" ht="19.5" customHeight="1" x14ac:dyDescent="0.25">
      <c r="A58" s="340"/>
      <c r="B58" s="31" t="s">
        <v>444</v>
      </c>
      <c r="C58" s="66" t="s">
        <v>273</v>
      </c>
      <c r="D58" s="115">
        <v>0</v>
      </c>
      <c r="E58" s="57" t="s">
        <v>148</v>
      </c>
      <c r="F58" s="56" t="s">
        <v>68</v>
      </c>
      <c r="G58" s="340"/>
      <c r="H58" s="353"/>
      <c r="I58" s="353"/>
      <c r="J58" s="353"/>
      <c r="K58" s="340"/>
      <c r="L58" s="340"/>
      <c r="M58" s="340"/>
      <c r="N58" s="340"/>
    </row>
    <row r="59" spans="1:14" ht="19.5" customHeight="1" x14ac:dyDescent="0.25">
      <c r="A59" s="340"/>
      <c r="B59" s="431" t="s">
        <v>445</v>
      </c>
      <c r="C59" s="67" t="s">
        <v>274</v>
      </c>
      <c r="D59" s="115">
        <v>0</v>
      </c>
      <c r="E59" s="57" t="s">
        <v>159</v>
      </c>
      <c r="F59" s="56" t="s">
        <v>158</v>
      </c>
      <c r="G59" s="340"/>
      <c r="H59" s="353"/>
      <c r="I59" s="353"/>
      <c r="J59" s="353"/>
      <c r="K59" s="340"/>
      <c r="L59" s="340"/>
      <c r="M59" s="340"/>
      <c r="N59" s="340"/>
    </row>
    <row r="60" spans="1:14" ht="19.5" customHeight="1" x14ac:dyDescent="0.25">
      <c r="A60" s="340"/>
      <c r="B60" s="431" t="s">
        <v>446</v>
      </c>
      <c r="C60" s="67" t="s">
        <v>275</v>
      </c>
      <c r="D60" s="115">
        <v>0</v>
      </c>
      <c r="E60" s="57" t="s">
        <v>159</v>
      </c>
      <c r="F60" s="56" t="s">
        <v>158</v>
      </c>
      <c r="G60" s="340"/>
      <c r="H60" s="353"/>
      <c r="I60" s="353"/>
      <c r="J60" s="353"/>
      <c r="K60" s="340"/>
      <c r="L60" s="340"/>
      <c r="M60" s="340"/>
      <c r="N60" s="340"/>
    </row>
    <row r="61" spans="1:14" ht="19.5" customHeight="1" x14ac:dyDescent="0.25">
      <c r="A61" s="340"/>
      <c r="B61" s="431" t="s">
        <v>447</v>
      </c>
      <c r="C61" s="67" t="s">
        <v>374</v>
      </c>
      <c r="D61" s="115">
        <v>0</v>
      </c>
      <c r="E61" s="57" t="s">
        <v>300</v>
      </c>
      <c r="F61" s="56" t="s">
        <v>301</v>
      </c>
      <c r="G61" s="340"/>
      <c r="H61" s="353"/>
      <c r="I61" s="353"/>
      <c r="J61" s="353"/>
      <c r="K61" s="340"/>
      <c r="L61" s="340"/>
      <c r="M61" s="340"/>
      <c r="N61" s="340"/>
    </row>
    <row r="62" spans="1:14" ht="19.5" customHeight="1" x14ac:dyDescent="0.25">
      <c r="A62" s="340"/>
      <c r="B62" s="431" t="s">
        <v>448</v>
      </c>
      <c r="C62" s="67" t="s">
        <v>276</v>
      </c>
      <c r="D62" s="437">
        <v>3.0000000000000001E-3</v>
      </c>
      <c r="E62" s="57" t="s">
        <v>159</v>
      </c>
      <c r="F62" s="56" t="s">
        <v>158</v>
      </c>
      <c r="G62" s="340"/>
      <c r="H62" s="353"/>
      <c r="I62" s="353"/>
      <c r="J62" s="353"/>
      <c r="K62" s="340"/>
      <c r="L62" s="340"/>
      <c r="M62" s="340"/>
      <c r="N62" s="340"/>
    </row>
    <row r="63" spans="1:14" ht="19.5" customHeight="1" x14ac:dyDescent="0.25">
      <c r="A63" s="340"/>
      <c r="B63" s="431" t="s">
        <v>449</v>
      </c>
      <c r="C63" s="67" t="s">
        <v>277</v>
      </c>
      <c r="D63" s="115">
        <v>0</v>
      </c>
      <c r="E63" s="57" t="s">
        <v>159</v>
      </c>
      <c r="F63" s="56" t="s">
        <v>158</v>
      </c>
      <c r="G63" s="340"/>
      <c r="H63" s="353"/>
      <c r="I63" s="353"/>
      <c r="J63" s="353"/>
      <c r="K63" s="340"/>
      <c r="L63" s="340"/>
      <c r="M63" s="340"/>
      <c r="N63" s="340"/>
    </row>
    <row r="64" spans="1:14" ht="19.5" customHeight="1" x14ac:dyDescent="0.25">
      <c r="A64" s="340"/>
      <c r="B64" s="431" t="s">
        <v>450</v>
      </c>
      <c r="C64" s="67" t="s">
        <v>278</v>
      </c>
      <c r="D64" s="115">
        <v>0</v>
      </c>
      <c r="E64" s="57" t="s">
        <v>159</v>
      </c>
      <c r="F64" s="56" t="s">
        <v>158</v>
      </c>
      <c r="G64" s="340"/>
      <c r="H64" s="353"/>
      <c r="I64" s="353"/>
      <c r="J64" s="353"/>
      <c r="K64" s="340"/>
      <c r="L64" s="340"/>
      <c r="M64" s="340"/>
      <c r="N64" s="340"/>
    </row>
    <row r="65" spans="1:14" ht="19.5" customHeight="1" x14ac:dyDescent="0.25">
      <c r="A65" s="340"/>
      <c r="B65" s="424" t="s">
        <v>451</v>
      </c>
      <c r="C65" s="424" t="s">
        <v>485</v>
      </c>
      <c r="D65" s="115">
        <v>0</v>
      </c>
      <c r="E65" s="57" t="s">
        <v>159</v>
      </c>
      <c r="F65" s="56" t="s">
        <v>158</v>
      </c>
      <c r="G65" s="340"/>
      <c r="H65" s="353"/>
      <c r="I65" s="353"/>
      <c r="J65" s="353"/>
      <c r="K65" s="340"/>
      <c r="L65" s="340"/>
      <c r="M65" s="340"/>
      <c r="N65" s="340"/>
    </row>
    <row r="66" spans="1:14" ht="19.5" customHeight="1" x14ac:dyDescent="0.25">
      <c r="A66" s="340"/>
      <c r="B66" s="424" t="s">
        <v>452</v>
      </c>
      <c r="C66" s="424" t="s">
        <v>486</v>
      </c>
      <c r="D66" s="115">
        <v>0</v>
      </c>
      <c r="E66" s="57" t="s">
        <v>159</v>
      </c>
      <c r="F66" s="56" t="s">
        <v>158</v>
      </c>
      <c r="G66" s="340"/>
      <c r="H66" s="353"/>
      <c r="I66" s="353"/>
      <c r="J66" s="353"/>
      <c r="K66" s="340"/>
      <c r="L66" s="340"/>
      <c r="M66" s="340"/>
      <c r="N66" s="340"/>
    </row>
    <row r="67" spans="1:14" ht="19.5" customHeight="1" x14ac:dyDescent="0.25">
      <c r="A67" s="340"/>
      <c r="B67" s="424" t="s">
        <v>453</v>
      </c>
      <c r="C67" s="54" t="s">
        <v>375</v>
      </c>
      <c r="D67" s="437">
        <v>3.0000000000000001E-3</v>
      </c>
      <c r="E67" s="57" t="s">
        <v>300</v>
      </c>
      <c r="F67" s="56" t="s">
        <v>301</v>
      </c>
      <c r="G67" s="340"/>
      <c r="H67" s="353"/>
      <c r="I67" s="353"/>
      <c r="J67" s="353"/>
      <c r="K67" s="340"/>
      <c r="L67" s="340"/>
      <c r="M67" s="340"/>
      <c r="N67" s="340"/>
    </row>
    <row r="68" spans="1:14" ht="19.5" customHeight="1" x14ac:dyDescent="0.25">
      <c r="A68" s="340"/>
      <c r="B68" s="424" t="s">
        <v>454</v>
      </c>
      <c r="C68" s="54" t="s">
        <v>376</v>
      </c>
      <c r="D68" s="115">
        <v>0</v>
      </c>
      <c r="E68" s="57" t="s">
        <v>300</v>
      </c>
      <c r="F68" s="56" t="s">
        <v>301</v>
      </c>
      <c r="G68" s="340"/>
      <c r="H68" s="353"/>
      <c r="I68" s="353"/>
      <c r="J68" s="353"/>
      <c r="K68" s="340"/>
      <c r="L68" s="340"/>
      <c r="M68" s="340"/>
      <c r="N68" s="340"/>
    </row>
    <row r="69" spans="1:14" ht="19.5" customHeight="1" x14ac:dyDescent="0.25">
      <c r="A69" s="340"/>
      <c r="B69" s="424" t="s">
        <v>455</v>
      </c>
      <c r="C69" s="54" t="s">
        <v>377</v>
      </c>
      <c r="D69" s="115">
        <v>0</v>
      </c>
      <c r="E69" s="57" t="s">
        <v>300</v>
      </c>
      <c r="F69" s="56" t="s">
        <v>301</v>
      </c>
      <c r="G69" s="340"/>
      <c r="H69" s="353"/>
      <c r="I69" s="353"/>
      <c r="J69" s="353"/>
      <c r="K69" s="340"/>
      <c r="L69" s="340"/>
      <c r="M69" s="340"/>
      <c r="N69" s="340"/>
    </row>
    <row r="70" spans="1:14" ht="19.5" customHeight="1" x14ac:dyDescent="0.25">
      <c r="A70" s="340"/>
      <c r="B70" s="424" t="s">
        <v>456</v>
      </c>
      <c r="C70" s="54" t="s">
        <v>378</v>
      </c>
      <c r="D70" s="115">
        <v>0</v>
      </c>
      <c r="E70" s="57" t="s">
        <v>300</v>
      </c>
      <c r="F70" s="56" t="s">
        <v>301</v>
      </c>
      <c r="G70" s="340"/>
      <c r="H70" s="353"/>
      <c r="I70" s="353"/>
      <c r="J70" s="353"/>
      <c r="K70" s="340"/>
      <c r="L70" s="340"/>
      <c r="M70" s="340"/>
      <c r="N70" s="340"/>
    </row>
    <row r="71" spans="1:14" ht="19.5" customHeight="1" x14ac:dyDescent="0.25">
      <c r="A71" s="340"/>
      <c r="B71" s="424" t="s">
        <v>457</v>
      </c>
      <c r="C71" s="54" t="s">
        <v>379</v>
      </c>
      <c r="D71" s="115">
        <v>0</v>
      </c>
      <c r="E71" s="57" t="s">
        <v>300</v>
      </c>
      <c r="F71" s="56" t="s">
        <v>301</v>
      </c>
      <c r="G71" s="340"/>
      <c r="H71" s="353"/>
      <c r="I71" s="353"/>
      <c r="J71" s="353"/>
      <c r="K71" s="340"/>
      <c r="L71" s="340"/>
      <c r="M71" s="340"/>
      <c r="N71" s="340"/>
    </row>
    <row r="72" spans="1:14" ht="19.5" customHeight="1" x14ac:dyDescent="0.25">
      <c r="A72" s="340"/>
      <c r="B72" s="432" t="s">
        <v>458</v>
      </c>
      <c r="C72" s="128" t="s">
        <v>279</v>
      </c>
      <c r="D72" s="115">
        <v>0</v>
      </c>
      <c r="E72" s="57" t="s">
        <v>146</v>
      </c>
      <c r="F72" s="56" t="s">
        <v>143</v>
      </c>
      <c r="G72" s="340"/>
      <c r="H72" s="353"/>
      <c r="I72" s="353"/>
      <c r="J72" s="353"/>
      <c r="K72" s="340"/>
      <c r="L72" s="340"/>
      <c r="M72" s="340"/>
      <c r="N72" s="340"/>
    </row>
    <row r="73" spans="1:14" ht="19.5" customHeight="1" x14ac:dyDescent="0.25">
      <c r="A73" s="340"/>
      <c r="B73" s="424" t="s">
        <v>459</v>
      </c>
      <c r="C73" s="54" t="s">
        <v>280</v>
      </c>
      <c r="D73" s="115">
        <v>0</v>
      </c>
      <c r="E73" s="57" t="s">
        <v>146</v>
      </c>
      <c r="F73" s="56" t="s">
        <v>143</v>
      </c>
      <c r="G73" s="340"/>
      <c r="H73" s="353"/>
      <c r="I73" s="353"/>
      <c r="J73" s="353"/>
      <c r="K73" s="340"/>
      <c r="L73" s="340"/>
      <c r="M73" s="340"/>
      <c r="N73" s="340"/>
    </row>
    <row r="74" spans="1:14" ht="19.5" customHeight="1" x14ac:dyDescent="0.25">
      <c r="A74" s="340"/>
      <c r="B74" s="424" t="s">
        <v>460</v>
      </c>
      <c r="C74" s="54" t="s">
        <v>380</v>
      </c>
      <c r="D74" s="115">
        <v>0</v>
      </c>
      <c r="E74" s="57" t="s">
        <v>146</v>
      </c>
      <c r="F74" s="56" t="s">
        <v>143</v>
      </c>
      <c r="G74" s="340"/>
      <c r="H74" s="353"/>
      <c r="I74" s="353"/>
      <c r="J74" s="353"/>
      <c r="K74" s="340"/>
      <c r="L74" s="340"/>
      <c r="M74" s="340"/>
      <c r="N74" s="340"/>
    </row>
    <row r="75" spans="1:14" ht="19.5" customHeight="1" x14ac:dyDescent="0.25">
      <c r="A75" s="340"/>
      <c r="B75" s="432" t="s">
        <v>461</v>
      </c>
      <c r="C75" s="128" t="s">
        <v>281</v>
      </c>
      <c r="D75" s="115">
        <v>0</v>
      </c>
      <c r="E75" s="57" t="s">
        <v>146</v>
      </c>
      <c r="F75" s="56" t="s">
        <v>143</v>
      </c>
      <c r="G75" s="340"/>
      <c r="H75" s="353"/>
      <c r="I75" s="353"/>
      <c r="J75" s="353"/>
      <c r="K75" s="340"/>
      <c r="L75" s="340"/>
      <c r="M75" s="340"/>
      <c r="N75" s="340"/>
    </row>
    <row r="76" spans="1:14" ht="19.5" customHeight="1" thickBot="1" x14ac:dyDescent="0.3">
      <c r="A76" s="340"/>
      <c r="B76" s="425" t="s">
        <v>462</v>
      </c>
      <c r="C76" s="59" t="s">
        <v>282</v>
      </c>
      <c r="D76" s="116">
        <v>0</v>
      </c>
      <c r="E76" s="68" t="s">
        <v>146</v>
      </c>
      <c r="F76" s="61" t="s">
        <v>143</v>
      </c>
      <c r="G76" s="340"/>
      <c r="H76" s="353"/>
      <c r="I76" s="353"/>
      <c r="J76" s="353"/>
      <c r="K76" s="340"/>
      <c r="L76" s="340"/>
      <c r="M76" s="340"/>
      <c r="N76" s="340"/>
    </row>
    <row r="77" spans="1:14" ht="19.5" customHeight="1" x14ac:dyDescent="0.25">
      <c r="C77" s="51"/>
      <c r="D77" s="52"/>
      <c r="E77" s="52"/>
      <c r="F77" s="52"/>
      <c r="J77" s="353"/>
      <c r="K77" s="340"/>
      <c r="L77" s="340"/>
      <c r="M77" s="340"/>
      <c r="N77" s="340"/>
    </row>
    <row r="78" spans="1:14" ht="19.5" customHeight="1" x14ac:dyDescent="0.25">
      <c r="B78" s="53"/>
      <c r="C78" s="51"/>
      <c r="D78" s="52"/>
      <c r="E78" s="52"/>
      <c r="F78" s="52"/>
    </row>
    <row r="79" spans="1:14" ht="19.5" customHeight="1" x14ac:dyDescent="0.25">
      <c r="B79" s="196"/>
      <c r="C79" s="51"/>
      <c r="D79" s="52"/>
      <c r="E79" s="52"/>
      <c r="F79" s="52"/>
    </row>
    <row r="80" spans="1:14" ht="19.5" customHeight="1" x14ac:dyDescent="0.25">
      <c r="B80" s="196"/>
      <c r="D80" s="52"/>
      <c r="E80" s="52"/>
      <c r="F80" s="52"/>
    </row>
    <row r="81" spans="4:6" ht="19.5" customHeight="1" x14ac:dyDescent="0.25">
      <c r="D81" s="52"/>
      <c r="E81" s="52"/>
      <c r="F81" s="52"/>
    </row>
    <row r="82" spans="4:6" ht="19.5" customHeight="1" x14ac:dyDescent="0.25">
      <c r="D82" s="52"/>
      <c r="E82" s="52"/>
      <c r="F82" s="52"/>
    </row>
    <row r="83" spans="4:6" ht="19.5" customHeight="1" x14ac:dyDescent="0.25">
      <c r="D83" s="52"/>
      <c r="E83" s="52"/>
      <c r="F83" s="52"/>
    </row>
    <row r="84" spans="4:6" ht="19.5" customHeight="1" x14ac:dyDescent="0.25">
      <c r="D84" s="52"/>
      <c r="E84" s="52"/>
      <c r="F84" s="52"/>
    </row>
    <row r="85" spans="4:6" ht="19.5" customHeight="1" x14ac:dyDescent="0.25">
      <c r="D85" s="52"/>
      <c r="E85" s="52"/>
      <c r="F85" s="52"/>
    </row>
    <row r="86" spans="4:6" ht="19.5" customHeight="1" x14ac:dyDescent="0.25">
      <c r="D86" s="52"/>
      <c r="E86" s="52"/>
      <c r="F86" s="52"/>
    </row>
    <row r="87" spans="4:6" ht="19.5" customHeight="1" x14ac:dyDescent="0.25">
      <c r="D87" s="52"/>
      <c r="E87" s="52"/>
      <c r="F87" s="52"/>
    </row>
    <row r="88" spans="4:6" ht="19.5" customHeight="1" x14ac:dyDescent="0.25"/>
    <row r="89" spans="4:6" ht="19.5" customHeight="1" x14ac:dyDescent="0.25"/>
    <row r="90" spans="4:6" ht="19.5" customHeight="1" x14ac:dyDescent="0.25"/>
    <row r="91" spans="4:6" ht="19.5" customHeight="1" x14ac:dyDescent="0.25"/>
    <row r="92" spans="4:6" ht="19.5" customHeight="1" x14ac:dyDescent="0.25"/>
    <row r="93" spans="4:6" ht="19.5" customHeight="1" x14ac:dyDescent="0.25"/>
  </sheetData>
  <sheetProtection selectLockedCells="1"/>
  <mergeCells count="2">
    <mergeCell ref="A2:F2"/>
    <mergeCell ref="I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zoomScale="85" zoomScaleNormal="85" workbookViewId="0">
      <selection activeCell="O24" sqref="O24"/>
    </sheetView>
  </sheetViews>
  <sheetFormatPr defaultColWidth="9.140625" defaultRowHeight="15" x14ac:dyDescent="0.25"/>
  <cols>
    <col min="1" max="1" width="8.28515625" style="278" customWidth="1"/>
    <col min="2" max="2" width="12.140625" style="278" customWidth="1"/>
    <col min="3" max="3" width="10.5703125" style="278" customWidth="1"/>
    <col min="4" max="4" width="12.42578125" style="278" customWidth="1"/>
    <col min="5" max="5" width="9.5703125" style="278" customWidth="1"/>
    <col min="6" max="6" width="10.7109375" style="278" customWidth="1"/>
    <col min="7" max="7" width="11.28515625" style="278" customWidth="1"/>
    <col min="8" max="8" width="14.85546875" style="278" customWidth="1"/>
    <col min="9" max="9" width="16.28515625" style="278" customWidth="1"/>
    <col min="10" max="10" width="16.140625" style="278" customWidth="1"/>
    <col min="11" max="11" width="11.7109375" style="278" customWidth="1"/>
    <col min="12" max="12" width="10.28515625" style="278" customWidth="1"/>
    <col min="13" max="13" width="15" style="278" customWidth="1"/>
    <col min="14" max="14" width="9.140625" style="278"/>
    <col min="15" max="15" width="12.85546875" style="278" customWidth="1"/>
    <col min="16" max="16" width="11.28515625" style="278" customWidth="1"/>
    <col min="17" max="17" width="9.140625" style="278"/>
    <col min="18" max="18" width="12.5703125" style="278" customWidth="1"/>
    <col min="19" max="21" width="9.140625" style="278"/>
    <col min="22" max="22" width="9" style="278" customWidth="1"/>
    <col min="23" max="23" width="11" style="278" customWidth="1"/>
    <col min="24" max="24" width="16" style="278" customWidth="1"/>
    <col min="25" max="25" width="14.7109375" style="278" customWidth="1"/>
    <col min="26" max="26" width="9.140625" style="278"/>
    <col min="27" max="27" width="9.42578125" style="278" customWidth="1"/>
    <col min="28" max="28" width="9.140625" style="278"/>
    <col min="29" max="29" width="15.42578125" style="278" customWidth="1"/>
    <col min="30" max="16384" width="9.140625" style="278"/>
  </cols>
  <sheetData>
    <row r="1" spans="3:28" ht="16.5" customHeight="1" thickTop="1" thickBot="1" x14ac:dyDescent="0.3">
      <c r="C1" s="323" t="s">
        <v>107</v>
      </c>
      <c r="D1" s="501" t="s">
        <v>332</v>
      </c>
      <c r="E1" s="502"/>
      <c r="F1" s="502"/>
      <c r="G1" s="503"/>
    </row>
    <row r="2" spans="3:28" ht="16.5" customHeight="1" thickTop="1" thickBot="1" x14ac:dyDescent="0.3">
      <c r="C2" s="324" t="s">
        <v>107</v>
      </c>
      <c r="D2" s="504" t="s">
        <v>333</v>
      </c>
      <c r="E2" s="505"/>
      <c r="F2" s="505"/>
      <c r="G2" s="506"/>
    </row>
    <row r="3" spans="3:28" ht="16.5" thickTop="1" thickBot="1" x14ac:dyDescent="0.3"/>
    <row r="4" spans="3:28" ht="16.5" thickTop="1" thickBot="1" x14ac:dyDescent="0.3">
      <c r="H4" s="498" t="s">
        <v>329</v>
      </c>
      <c r="I4" s="499"/>
      <c r="J4" s="500"/>
      <c r="V4" s="469" t="s">
        <v>358</v>
      </c>
      <c r="W4" s="470"/>
      <c r="X4" s="471"/>
    </row>
    <row r="5" spans="3:28" ht="18.75" customHeight="1" thickTop="1" thickBot="1" x14ac:dyDescent="0.3">
      <c r="H5" s="512">
        <f>'Sumo forms'!D7</f>
        <v>277.39999999999998</v>
      </c>
      <c r="I5" s="513"/>
      <c r="J5" s="277" t="s">
        <v>68</v>
      </c>
      <c r="V5" s="472">
        <f>'Check fractions'!H7</f>
        <v>74.876294035532595</v>
      </c>
      <c r="W5" s="473"/>
      <c r="X5" s="303" t="s">
        <v>359</v>
      </c>
    </row>
    <row r="6" spans="3:28" ht="16.5" thickTop="1" thickBot="1" x14ac:dyDescent="0.3">
      <c r="H6" s="510">
        <v>100</v>
      </c>
      <c r="I6" s="511"/>
      <c r="J6" s="287" t="s">
        <v>107</v>
      </c>
      <c r="K6" s="279"/>
      <c r="V6" s="474">
        <v>100</v>
      </c>
      <c r="W6" s="475"/>
      <c r="X6" s="304" t="s">
        <v>107</v>
      </c>
    </row>
    <row r="7" spans="3:28" ht="16.5" thickTop="1" thickBot="1" x14ac:dyDescent="0.3">
      <c r="H7" s="508">
        <v>100</v>
      </c>
      <c r="I7" s="509"/>
      <c r="J7" s="286" t="s">
        <v>107</v>
      </c>
      <c r="K7" s="279"/>
      <c r="V7" s="476">
        <v>100</v>
      </c>
      <c r="W7" s="477"/>
      <c r="X7" s="306" t="s">
        <v>107</v>
      </c>
    </row>
    <row r="8" spans="3:28" ht="16.5" thickTop="1" thickBot="1" x14ac:dyDescent="0.3">
      <c r="I8" s="280"/>
      <c r="K8" s="275"/>
      <c r="V8" s="292"/>
      <c r="W8" s="291"/>
      <c r="X8" s="284"/>
      <c r="Y8" s="281"/>
    </row>
    <row r="9" spans="3:28" ht="16.5" thickTop="1" thickBot="1" x14ac:dyDescent="0.3">
      <c r="C9" s="493" t="s">
        <v>330</v>
      </c>
      <c r="D9" s="493"/>
      <c r="E9" s="493"/>
      <c r="F9" s="493"/>
      <c r="G9" s="374"/>
      <c r="H9" s="281"/>
      <c r="I9" s="282"/>
      <c r="J9" s="281"/>
      <c r="K9" s="493" t="s">
        <v>331</v>
      </c>
      <c r="L9" s="493"/>
      <c r="M9" s="493"/>
      <c r="U9" s="282"/>
      <c r="Y9" s="291"/>
    </row>
    <row r="10" spans="3:28" ht="15.75" customHeight="1" thickTop="1" thickBot="1" x14ac:dyDescent="0.3">
      <c r="C10" s="514">
        <f>Data!G14</f>
        <v>107.39999999999998</v>
      </c>
      <c r="D10" s="514"/>
      <c r="E10" s="514"/>
      <c r="F10" s="277" t="s">
        <v>68</v>
      </c>
      <c r="K10" s="514">
        <f>Data!C15</f>
        <v>170</v>
      </c>
      <c r="L10" s="514"/>
      <c r="M10" s="277" t="s">
        <v>68</v>
      </c>
      <c r="T10" s="468" t="s">
        <v>361</v>
      </c>
      <c r="U10" s="468"/>
      <c r="V10" s="468"/>
      <c r="W10" s="468"/>
      <c r="Y10" s="468" t="s">
        <v>360</v>
      </c>
      <c r="Z10" s="468"/>
      <c r="AA10" s="468"/>
      <c r="AB10" s="468"/>
    </row>
    <row r="11" spans="3:28" ht="19.5" customHeight="1" thickTop="1" thickBot="1" x14ac:dyDescent="0.3">
      <c r="C11" s="494">
        <f>100*C10/H5</f>
        <v>38.716654650324436</v>
      </c>
      <c r="D11" s="494"/>
      <c r="E11" s="494"/>
      <c r="F11" s="277" t="s">
        <v>107</v>
      </c>
      <c r="K11" s="494">
        <f>Data!G15</f>
        <v>61.283345349675564</v>
      </c>
      <c r="L11" s="494"/>
      <c r="M11" s="287" t="s">
        <v>107</v>
      </c>
      <c r="T11" s="465">
        <f>V5-Y11</f>
        <v>8.197404687468179</v>
      </c>
      <c r="U11" s="465"/>
      <c r="V11" s="465"/>
      <c r="W11" s="302" t="s">
        <v>359</v>
      </c>
      <c r="Y11" s="465">
        <f>'Check fractions'!H8</f>
        <v>66.678889348064416</v>
      </c>
      <c r="Z11" s="465"/>
      <c r="AA11" s="465"/>
      <c r="AB11" s="302" t="s">
        <v>359</v>
      </c>
    </row>
    <row r="12" spans="3:28" ht="16.5" thickTop="1" thickBot="1" x14ac:dyDescent="0.3">
      <c r="C12" s="507">
        <f>100*C11/H6</f>
        <v>38.716654650324436</v>
      </c>
      <c r="D12" s="507"/>
      <c r="E12" s="507"/>
      <c r="F12" s="277" t="s">
        <v>107</v>
      </c>
      <c r="K12" s="507">
        <f>Data!G15</f>
        <v>61.283345349675564</v>
      </c>
      <c r="L12" s="507"/>
      <c r="M12" s="286" t="s">
        <v>107</v>
      </c>
      <c r="T12" s="466">
        <f>100*T11/V5</f>
        <v>10.947930574098786</v>
      </c>
      <c r="U12" s="466"/>
      <c r="V12" s="466"/>
      <c r="W12" s="303" t="s">
        <v>107</v>
      </c>
      <c r="Y12" s="466">
        <f>100*Y11/V5</f>
        <v>89.052069425901209</v>
      </c>
      <c r="Z12" s="466"/>
      <c r="AA12" s="466"/>
      <c r="AB12" s="303" t="s">
        <v>107</v>
      </c>
    </row>
    <row r="13" spans="3:28" ht="16.5" thickTop="1" thickBot="1" x14ac:dyDescent="0.3">
      <c r="D13" s="280"/>
      <c r="L13" s="280"/>
      <c r="T13" s="467">
        <f>100*T12/V5</f>
        <v>14.621357420418589</v>
      </c>
      <c r="U13" s="467"/>
      <c r="V13" s="467"/>
      <c r="W13" s="303" t="s">
        <v>107</v>
      </c>
      <c r="Y13" s="467">
        <f>100*Y12/V5</f>
        <v>118.93226096852696</v>
      </c>
      <c r="Z13" s="467"/>
      <c r="AA13" s="467"/>
      <c r="AB13" s="303" t="s">
        <v>107</v>
      </c>
    </row>
    <row r="14" spans="3:28" ht="16.5" thickTop="1" thickBot="1" x14ac:dyDescent="0.3">
      <c r="D14" s="280"/>
      <c r="J14" s="493" t="s">
        <v>317</v>
      </c>
      <c r="K14" s="493"/>
      <c r="L14" s="282"/>
      <c r="M14" s="284"/>
      <c r="N14" s="493" t="s">
        <v>318</v>
      </c>
      <c r="O14" s="493"/>
      <c r="Y14" s="289"/>
    </row>
    <row r="15" spans="3:28" ht="16.5" thickTop="1" thickBot="1" x14ac:dyDescent="0.3">
      <c r="D15" s="280"/>
      <c r="J15" s="326">
        <f>Data!C15-Data!C16</f>
        <v>85</v>
      </c>
      <c r="K15" s="277" t="s">
        <v>68</v>
      </c>
      <c r="N15" s="326">
        <f>Data!C16</f>
        <v>85</v>
      </c>
      <c r="O15" s="277" t="s">
        <v>68</v>
      </c>
      <c r="Y15" s="280"/>
    </row>
    <row r="16" spans="3:28" ht="16.5" thickTop="1" thickBot="1" x14ac:dyDescent="0.3">
      <c r="D16" s="280"/>
      <c r="J16" s="322">
        <f>100*J15/K10</f>
        <v>50</v>
      </c>
      <c r="K16" s="287" t="s">
        <v>107</v>
      </c>
      <c r="N16" s="322">
        <f>100*N15/K10</f>
        <v>50</v>
      </c>
      <c r="O16" s="287" t="s">
        <v>107</v>
      </c>
      <c r="Y16" s="282"/>
    </row>
    <row r="17" spans="2:29" ht="16.5" thickTop="1" thickBot="1" x14ac:dyDescent="0.3">
      <c r="D17" s="280"/>
      <c r="J17" s="325">
        <f>100*J15/H5</f>
        <v>30.641672674837782</v>
      </c>
      <c r="K17" s="286" t="s">
        <v>107</v>
      </c>
      <c r="N17" s="325">
        <f>100*N15/H5</f>
        <v>30.641672674837782</v>
      </c>
      <c r="O17" s="286" t="s">
        <v>107</v>
      </c>
      <c r="X17" s="319" t="s">
        <v>319</v>
      </c>
      <c r="Y17" s="319" t="s">
        <v>320</v>
      </c>
      <c r="Z17" s="319" t="s">
        <v>321</v>
      </c>
      <c r="AA17" s="319" t="s">
        <v>328</v>
      </c>
      <c r="AB17" s="319" t="s">
        <v>322</v>
      </c>
      <c r="AC17" s="319"/>
    </row>
    <row r="18" spans="2:29" ht="16.5" thickTop="1" thickBot="1" x14ac:dyDescent="0.3">
      <c r="D18" s="280"/>
      <c r="J18" s="276"/>
      <c r="K18" s="275"/>
      <c r="N18" s="276"/>
      <c r="O18" s="275"/>
      <c r="W18" s="283"/>
      <c r="X18" s="317">
        <f>B21/'Check fractions'!D21</f>
        <v>39.464999999999989</v>
      </c>
      <c r="Y18" s="317">
        <f>C21/'Check fractions'!D22</f>
        <v>19.417999999999999</v>
      </c>
      <c r="Z18" s="317">
        <f>D21/'Check fractions'!D20</f>
        <v>6.3489436619718305</v>
      </c>
      <c r="AA18" s="317">
        <f>E21/'Check fractions'!D23</f>
        <v>1.2697887323943662</v>
      </c>
      <c r="AB18" s="317">
        <f>F21/'Check fractions'!D20</f>
        <v>0.21197183098591546</v>
      </c>
      <c r="AC18" s="302" t="s">
        <v>359</v>
      </c>
    </row>
    <row r="19" spans="2:29" ht="16.5" thickTop="1" thickBot="1" x14ac:dyDescent="0.3">
      <c r="D19" s="280"/>
      <c r="J19" s="280"/>
      <c r="N19" s="280"/>
      <c r="X19" s="318">
        <f>100*X18/$Y$11</f>
        <v>59.186648706747839</v>
      </c>
      <c r="Y19" s="318">
        <f t="shared" ref="Y19:AA19" si="0">100*Y18/$Y$11</f>
        <v>29.121660828268841</v>
      </c>
      <c r="Z19" s="318">
        <f t="shared" si="0"/>
        <v>9.5216697879148615</v>
      </c>
      <c r="AA19" s="318">
        <f t="shared" si="0"/>
        <v>1.9043339575829725</v>
      </c>
      <c r="AB19" s="318">
        <f>100*AB18/$Y$11</f>
        <v>0.31789946272113284</v>
      </c>
      <c r="AC19" s="304" t="s">
        <v>107</v>
      </c>
    </row>
    <row r="20" spans="2:29" ht="16.5" thickTop="1" thickBot="1" x14ac:dyDescent="0.3">
      <c r="B20" s="321" t="s">
        <v>319</v>
      </c>
      <c r="C20" s="321" t="s">
        <v>320</v>
      </c>
      <c r="D20" s="321" t="s">
        <v>321</v>
      </c>
      <c r="E20" s="321" t="s">
        <v>328</v>
      </c>
      <c r="F20" s="321" t="s">
        <v>322</v>
      </c>
      <c r="G20" s="321"/>
      <c r="I20" s="321" t="s">
        <v>323</v>
      </c>
      <c r="J20" s="321" t="s">
        <v>324</v>
      </c>
      <c r="K20" s="321"/>
      <c r="M20" s="321" t="s">
        <v>327</v>
      </c>
      <c r="N20" s="321" t="s">
        <v>325</v>
      </c>
      <c r="O20" s="321" t="s">
        <v>326</v>
      </c>
      <c r="P20" s="321"/>
      <c r="X20" s="305">
        <f>100*X18/$V$5</f>
        <v>52.70693549719735</v>
      </c>
      <c r="Y20" s="305">
        <f t="shared" ref="Y20:AB20" si="1">100*Y18/$V$5</f>
        <v>25.933441618765446</v>
      </c>
      <c r="Z20" s="305">
        <f t="shared" si="1"/>
        <v>8.4792439900390022</v>
      </c>
      <c r="AA20" s="305">
        <f t="shared" si="1"/>
        <v>1.695848798007801</v>
      </c>
      <c r="AB20" s="305">
        <f t="shared" si="1"/>
        <v>0.28309605024699014</v>
      </c>
      <c r="AC20" s="306" t="s">
        <v>107</v>
      </c>
    </row>
    <row r="21" spans="2:29" ht="15.75" customHeight="1" thickTop="1" thickBot="1" x14ac:dyDescent="0.3">
      <c r="B21" s="326">
        <f>Balances!C6</f>
        <v>71.036999999999978</v>
      </c>
      <c r="C21" s="326">
        <f>Balances!C9</f>
        <v>25.243399999999998</v>
      </c>
      <c r="D21" s="326">
        <f>Balances!C10</f>
        <v>9.0154999999999994</v>
      </c>
      <c r="E21" s="326">
        <f>Balances!C11</f>
        <v>1.8030999999999999</v>
      </c>
      <c r="F21" s="326">
        <f>SUM(Balances!C15:C22)</f>
        <v>0.30099999999999993</v>
      </c>
      <c r="G21" s="277" t="s">
        <v>68</v>
      </c>
      <c r="H21" s="275"/>
      <c r="I21" s="326">
        <f>Balances!C5</f>
        <v>68</v>
      </c>
      <c r="J21" s="326">
        <f>Balances!C8</f>
        <v>17</v>
      </c>
      <c r="K21" s="277" t="s">
        <v>68</v>
      </c>
      <c r="M21" s="326">
        <f>Balances!C3</f>
        <v>19.999999999999996</v>
      </c>
      <c r="N21" s="326">
        <f>Balances!C4</f>
        <v>45</v>
      </c>
      <c r="O21" s="326">
        <f>Balances!C7</f>
        <v>19.999999999999996</v>
      </c>
      <c r="P21" s="277" t="s">
        <v>68</v>
      </c>
    </row>
    <row r="22" spans="2:29" ht="16.5" thickTop="1" thickBot="1" x14ac:dyDescent="0.3">
      <c r="B22" s="322">
        <f>100*B21/$C$10</f>
        <v>66.142458100558656</v>
      </c>
      <c r="C22" s="322">
        <f>100*C21/$C$10</f>
        <v>23.504096834264434</v>
      </c>
      <c r="D22" s="322">
        <f>100*D21/$C$10</f>
        <v>8.3943202979515839</v>
      </c>
      <c r="E22" s="322">
        <f>100*E21/$C$10</f>
        <v>1.678864059590317</v>
      </c>
      <c r="F22" s="322">
        <f>100*F21/$C$10</f>
        <v>0.28026070763500932</v>
      </c>
      <c r="G22" s="287" t="s">
        <v>107</v>
      </c>
      <c r="H22" s="275"/>
      <c r="I22" s="322">
        <f>100*I21/$J$15</f>
        <v>80</v>
      </c>
      <c r="J22" s="322">
        <f>100*J21/$J$15</f>
        <v>20</v>
      </c>
      <c r="K22" s="287" t="s">
        <v>107</v>
      </c>
      <c r="M22" s="322">
        <f>100*M21/$N$15</f>
        <v>23.529411764705877</v>
      </c>
      <c r="N22" s="322">
        <f>100*N21/$N$15</f>
        <v>52.941176470588232</v>
      </c>
      <c r="O22" s="322">
        <f>100*O21/$N$15</f>
        <v>23.529411764705877</v>
      </c>
      <c r="P22" s="287" t="s">
        <v>107</v>
      </c>
    </row>
    <row r="23" spans="2:29" ht="16.5" thickTop="1" thickBot="1" x14ac:dyDescent="0.3">
      <c r="B23" s="285">
        <f>100*B21/$H$5</f>
        <v>25.608147080028836</v>
      </c>
      <c r="C23" s="285">
        <f>100*C21/$H$5</f>
        <v>9.1</v>
      </c>
      <c r="D23" s="285">
        <f>100*D21/$H$5</f>
        <v>3.25</v>
      </c>
      <c r="E23" s="285">
        <f>100*E21/$H$5</f>
        <v>0.65</v>
      </c>
      <c r="F23" s="285">
        <f>100*F21/$H$5</f>
        <v>0.10850757029560201</v>
      </c>
      <c r="G23" s="286" t="s">
        <v>107</v>
      </c>
      <c r="H23" s="275"/>
      <c r="I23" s="285">
        <f>100*I21/$H$5</f>
        <v>24.513338139870225</v>
      </c>
      <c r="J23" s="285">
        <f>100*J21/$H$5</f>
        <v>6.1283345349675562</v>
      </c>
      <c r="K23" s="286" t="s">
        <v>107</v>
      </c>
      <c r="M23" s="285">
        <f>100*M21/$H$5</f>
        <v>7.2098053352559468</v>
      </c>
      <c r="N23" s="285">
        <f>100*N21/$H$5</f>
        <v>16.222062004325885</v>
      </c>
      <c r="O23" s="285">
        <f>100*O21/$H$5</f>
        <v>7.2098053352559468</v>
      </c>
      <c r="P23" s="286" t="s">
        <v>107</v>
      </c>
    </row>
    <row r="24" spans="2:29" ht="15.75" thickTop="1" x14ac:dyDescent="0.25">
      <c r="E24" s="283"/>
    </row>
    <row r="27" spans="2:29" ht="15.75" thickBot="1" x14ac:dyDescent="0.3"/>
    <row r="28" spans="2:29" ht="16.5" thickTop="1" thickBot="1" x14ac:dyDescent="0.3">
      <c r="H28" s="487" t="s">
        <v>334</v>
      </c>
      <c r="I28" s="495"/>
      <c r="J28" s="488"/>
      <c r="T28" s="478" t="s">
        <v>372</v>
      </c>
      <c r="U28" s="479"/>
      <c r="V28" s="480"/>
    </row>
    <row r="29" spans="2:29" ht="16.5" thickTop="1" thickBot="1" x14ac:dyDescent="0.3">
      <c r="H29" s="496">
        <f>Data!C7+Data!C25</f>
        <v>30</v>
      </c>
      <c r="I29" s="497"/>
      <c r="J29" s="294" t="s">
        <v>343</v>
      </c>
      <c r="T29" s="481">
        <f>Data!C8</f>
        <v>3.65</v>
      </c>
      <c r="U29" s="482"/>
      <c r="V29" s="307" t="s">
        <v>44</v>
      </c>
    </row>
    <row r="30" spans="2:29" ht="16.5" thickTop="1" thickBot="1" x14ac:dyDescent="0.3">
      <c r="H30" s="489">
        <v>100</v>
      </c>
      <c r="I30" s="490"/>
      <c r="J30" s="295" t="s">
        <v>107</v>
      </c>
      <c r="T30" s="483">
        <v>100</v>
      </c>
      <c r="U30" s="484"/>
      <c r="V30" s="308" t="s">
        <v>107</v>
      </c>
    </row>
    <row r="31" spans="2:29" ht="16.5" thickTop="1" thickBot="1" x14ac:dyDescent="0.3">
      <c r="H31" s="491">
        <v>100</v>
      </c>
      <c r="I31" s="492"/>
      <c r="J31" s="296" t="s">
        <v>107</v>
      </c>
      <c r="T31" s="485">
        <v>100</v>
      </c>
      <c r="U31" s="486"/>
      <c r="V31" s="309" t="s">
        <v>107</v>
      </c>
    </row>
    <row r="32" spans="2:29" ht="15.75" thickTop="1" x14ac:dyDescent="0.25">
      <c r="I32" s="289"/>
      <c r="T32" s="289"/>
      <c r="U32" s="288"/>
      <c r="V32" s="288"/>
    </row>
    <row r="33" spans="2:30" ht="15.75" thickBot="1" x14ac:dyDescent="0.3">
      <c r="I33" s="280"/>
      <c r="T33" s="280"/>
      <c r="U33" s="279"/>
      <c r="V33" s="279"/>
    </row>
    <row r="34" spans="2:30" ht="16.5" thickTop="1" thickBot="1" x14ac:dyDescent="0.3">
      <c r="E34" s="487" t="s">
        <v>367</v>
      </c>
      <c r="F34" s="488"/>
      <c r="I34" s="280"/>
      <c r="K34" s="487" t="s">
        <v>335</v>
      </c>
      <c r="L34" s="488"/>
      <c r="R34" s="478" t="s">
        <v>347</v>
      </c>
      <c r="S34" s="480"/>
      <c r="T34" s="280"/>
      <c r="U34" s="293"/>
      <c r="W34" s="478" t="s">
        <v>346</v>
      </c>
      <c r="X34" s="480"/>
    </row>
    <row r="35" spans="2:30" ht="16.5" thickTop="1" thickBot="1" x14ac:dyDescent="0.3">
      <c r="E35" s="297">
        <f>Data!C7</f>
        <v>30</v>
      </c>
      <c r="F35" s="294" t="s">
        <v>343</v>
      </c>
      <c r="G35" s="284"/>
      <c r="H35" s="281"/>
      <c r="I35" s="282"/>
      <c r="J35" s="290"/>
      <c r="K35" s="297">
        <f>Data!C25</f>
        <v>0</v>
      </c>
      <c r="L35" s="294" t="s">
        <v>343</v>
      </c>
      <c r="R35" s="310">
        <f>Data!C24</f>
        <v>2.5</v>
      </c>
      <c r="S35" s="307" t="s">
        <v>44</v>
      </c>
      <c r="T35" s="290"/>
      <c r="U35" s="284"/>
      <c r="V35" s="282"/>
      <c r="W35" s="310">
        <f>T29-R35</f>
        <v>1.1499999999999999</v>
      </c>
      <c r="X35" s="307" t="s">
        <v>44</v>
      </c>
    </row>
    <row r="36" spans="2:30" ht="16.5" thickTop="1" thickBot="1" x14ac:dyDescent="0.3">
      <c r="E36" s="298">
        <f>100*E35/H29</f>
        <v>100</v>
      </c>
      <c r="F36" s="295" t="s">
        <v>107</v>
      </c>
      <c r="K36" s="298">
        <f>100*K35/H29</f>
        <v>0</v>
      </c>
      <c r="L36" s="295" t="s">
        <v>107</v>
      </c>
      <c r="R36" s="311">
        <f>100*R35/T29</f>
        <v>68.493150684931507</v>
      </c>
      <c r="S36" s="308" t="s">
        <v>107</v>
      </c>
      <c r="W36" s="311">
        <f>100*W35/T29</f>
        <v>31.506849315068489</v>
      </c>
      <c r="X36" s="308" t="s">
        <v>107</v>
      </c>
    </row>
    <row r="37" spans="2:30" ht="16.5" thickTop="1" thickBot="1" x14ac:dyDescent="0.3">
      <c r="E37" s="299">
        <f>100*E35/H29</f>
        <v>100</v>
      </c>
      <c r="F37" s="296" t="s">
        <v>107</v>
      </c>
      <c r="K37" s="299">
        <f>100*K35/H29</f>
        <v>0</v>
      </c>
      <c r="L37" s="296" t="s">
        <v>107</v>
      </c>
      <c r="R37" s="312">
        <f>100*R35/T29</f>
        <v>68.493150684931507</v>
      </c>
      <c r="S37" s="309" t="s">
        <v>107</v>
      </c>
      <c r="W37" s="312">
        <f>100*W35/T29</f>
        <v>31.506849315068489</v>
      </c>
      <c r="X37" s="309" t="s">
        <v>107</v>
      </c>
    </row>
    <row r="38" spans="2:30" ht="16.5" thickTop="1" thickBot="1" x14ac:dyDescent="0.3">
      <c r="E38" s="289"/>
      <c r="W38" s="291"/>
      <c r="X38" s="292"/>
      <c r="Y38" s="281"/>
      <c r="Z38" s="281"/>
      <c r="AA38" s="281"/>
      <c r="AB38" s="281"/>
      <c r="AC38" s="281"/>
    </row>
    <row r="39" spans="2:30" ht="16.5" thickTop="1" thickBot="1" x14ac:dyDescent="0.3">
      <c r="E39" s="280"/>
      <c r="V39" s="282"/>
      <c r="Z39" s="291"/>
      <c r="AC39" s="291"/>
    </row>
    <row r="40" spans="2:30" ht="16.5" thickTop="1" thickBot="1" x14ac:dyDescent="0.3">
      <c r="B40" s="487" t="s">
        <v>369</v>
      </c>
      <c r="C40" s="488"/>
      <c r="D40" s="284"/>
      <c r="E40" s="282"/>
      <c r="F40" s="281"/>
      <c r="G40" s="282"/>
      <c r="H40" s="487" t="s">
        <v>368</v>
      </c>
      <c r="I40" s="488"/>
      <c r="V40" s="478" t="s">
        <v>348</v>
      </c>
      <c r="W40" s="480"/>
      <c r="Z40" s="478" t="s">
        <v>349</v>
      </c>
      <c r="AA40" s="480"/>
      <c r="AC40" s="478" t="s">
        <v>350</v>
      </c>
      <c r="AD40" s="480"/>
    </row>
    <row r="41" spans="2:30" ht="16.5" thickTop="1" thickBot="1" x14ac:dyDescent="0.3">
      <c r="B41" s="297">
        <f>Data!C23</f>
        <v>24</v>
      </c>
      <c r="C41" s="294" t="s">
        <v>343</v>
      </c>
      <c r="H41" s="297">
        <f>E35-B41</f>
        <v>6</v>
      </c>
      <c r="I41" s="294" t="s">
        <v>343</v>
      </c>
      <c r="V41" s="310">
        <f>SUM(R49:U49)</f>
        <v>0.48999999999999966</v>
      </c>
      <c r="W41" s="307" t="s">
        <v>44</v>
      </c>
      <c r="Z41" s="310">
        <f>X49+Y49</f>
        <v>0.17</v>
      </c>
      <c r="AA41" s="307" t="s">
        <v>44</v>
      </c>
      <c r="AC41" s="310">
        <f>AB49+AC49</f>
        <v>0.49</v>
      </c>
      <c r="AD41" s="307" t="s">
        <v>44</v>
      </c>
    </row>
    <row r="42" spans="2:30" ht="16.5" thickTop="1" thickBot="1" x14ac:dyDescent="0.3">
      <c r="B42" s="298">
        <f>100*B41/E35</f>
        <v>80</v>
      </c>
      <c r="C42" s="295" t="s">
        <v>107</v>
      </c>
      <c r="H42" s="298">
        <f>100*H41/E35</f>
        <v>20</v>
      </c>
      <c r="I42" s="295" t="s">
        <v>107</v>
      </c>
      <c r="V42" s="311">
        <f>100*V41/W35</f>
        <v>42.608695652173886</v>
      </c>
      <c r="W42" s="308" t="s">
        <v>107</v>
      </c>
      <c r="Z42" s="311">
        <f>100*Z41/W35</f>
        <v>14.782608695652176</v>
      </c>
      <c r="AA42" s="308" t="s">
        <v>107</v>
      </c>
      <c r="AC42" s="311">
        <f>100*AC41/W35</f>
        <v>42.608695652173914</v>
      </c>
      <c r="AD42" s="308" t="s">
        <v>107</v>
      </c>
    </row>
    <row r="43" spans="2:30" ht="16.5" thickTop="1" thickBot="1" x14ac:dyDescent="0.3">
      <c r="B43" s="299">
        <f>100*B41/H29</f>
        <v>80</v>
      </c>
      <c r="C43" s="296" t="s">
        <v>107</v>
      </c>
      <c r="H43" s="299">
        <f>100*H41/H29</f>
        <v>20</v>
      </c>
      <c r="I43" s="296" t="s">
        <v>107</v>
      </c>
      <c r="V43" s="312">
        <f>100*V41/T29</f>
        <v>13.424657534246565</v>
      </c>
      <c r="W43" s="309" t="s">
        <v>107</v>
      </c>
      <c r="Z43" s="312">
        <f>100*Z41/T29</f>
        <v>4.6575342465753424</v>
      </c>
      <c r="AA43" s="309" t="s">
        <v>107</v>
      </c>
      <c r="AC43" s="312">
        <f>100*AC41/T29</f>
        <v>13.424657534246576</v>
      </c>
      <c r="AD43" s="309" t="s">
        <v>107</v>
      </c>
    </row>
    <row r="44" spans="2:30" ht="16.5" thickTop="1" thickBot="1" x14ac:dyDescent="0.3">
      <c r="G44" s="281"/>
      <c r="H44" s="291"/>
      <c r="I44" s="284"/>
      <c r="J44" s="281"/>
      <c r="K44" s="281"/>
      <c r="L44" s="281"/>
      <c r="M44" s="281"/>
      <c r="V44" s="289"/>
      <c r="Z44" s="289"/>
      <c r="AC44" s="289"/>
    </row>
    <row r="45" spans="2:30" ht="16.5" thickTop="1" thickBot="1" x14ac:dyDescent="0.3">
      <c r="F45" s="282"/>
      <c r="J45" s="291"/>
      <c r="M45" s="291"/>
      <c r="T45" s="281"/>
      <c r="U45" s="281"/>
      <c r="V45" s="282"/>
      <c r="Z45" s="282"/>
      <c r="AC45" s="282"/>
    </row>
    <row r="46" spans="2:30" ht="16.5" thickTop="1" thickBot="1" x14ac:dyDescent="0.3">
      <c r="F46" s="487" t="s">
        <v>344</v>
      </c>
      <c r="G46" s="488"/>
      <c r="J46" s="487" t="s">
        <v>370</v>
      </c>
      <c r="K46" s="488"/>
      <c r="M46" s="487" t="s">
        <v>371</v>
      </c>
      <c r="N46" s="488"/>
      <c r="S46" s="280"/>
      <c r="Y46" s="280"/>
      <c r="AB46" s="280"/>
    </row>
    <row r="47" spans="2:30" ht="16.5" thickTop="1" thickBot="1" x14ac:dyDescent="0.3">
      <c r="F47" s="297">
        <f>B55+C55+D55+E55</f>
        <v>3.1499999999999968</v>
      </c>
      <c r="G47" s="294" t="s">
        <v>343</v>
      </c>
      <c r="J47" s="297">
        <f>H55+I55</f>
        <v>0.85000000000000009</v>
      </c>
      <c r="K47" s="294" t="s">
        <v>343</v>
      </c>
      <c r="M47" s="297">
        <f>L55+M55</f>
        <v>2</v>
      </c>
      <c r="N47" s="294" t="s">
        <v>343</v>
      </c>
      <c r="S47" s="282"/>
      <c r="Y47" s="282"/>
      <c r="AB47" s="282"/>
    </row>
    <row r="48" spans="2:30" ht="16.5" thickTop="1" thickBot="1" x14ac:dyDescent="0.3">
      <c r="F48" s="298">
        <f>100*F47/$H$41</f>
        <v>52.499999999999943</v>
      </c>
      <c r="G48" s="295" t="s">
        <v>107</v>
      </c>
      <c r="J48" s="298">
        <f>100*J47/H41</f>
        <v>14.16666666666667</v>
      </c>
      <c r="K48" s="295" t="s">
        <v>107</v>
      </c>
      <c r="M48" s="298">
        <f>100*M47/H41</f>
        <v>33.333333333333336</v>
      </c>
      <c r="N48" s="295" t="s">
        <v>107</v>
      </c>
      <c r="R48" s="313" t="s">
        <v>351</v>
      </c>
      <c r="S48" s="313" t="s">
        <v>362</v>
      </c>
      <c r="T48" s="313" t="s">
        <v>352</v>
      </c>
      <c r="U48" s="313" t="s">
        <v>353</v>
      </c>
      <c r="V48" s="313"/>
      <c r="X48" s="320" t="s">
        <v>354</v>
      </c>
      <c r="Y48" s="320" t="s">
        <v>355</v>
      </c>
      <c r="Z48" s="313"/>
      <c r="AB48" s="313" t="s">
        <v>356</v>
      </c>
      <c r="AC48" s="313" t="s">
        <v>357</v>
      </c>
      <c r="AD48" s="313"/>
    </row>
    <row r="49" spans="2:30" ht="16.5" thickTop="1" thickBot="1" x14ac:dyDescent="0.3">
      <c r="F49" s="299">
        <f>100*F47/$H$29</f>
        <v>10.499999999999989</v>
      </c>
      <c r="G49" s="296" t="s">
        <v>107</v>
      </c>
      <c r="J49" s="299">
        <f>100*J47/H29</f>
        <v>2.8333333333333339</v>
      </c>
      <c r="K49" s="296" t="s">
        <v>107</v>
      </c>
      <c r="M49" s="299">
        <f>100*M47/H29</f>
        <v>6.666666666666667</v>
      </c>
      <c r="N49" s="296" t="s">
        <v>107</v>
      </c>
      <c r="R49" s="310">
        <f>Balances!G17</f>
        <v>0.22067199999999992</v>
      </c>
      <c r="S49" s="310">
        <f>Balances!G18</f>
        <v>4.2999999999999997E-2</v>
      </c>
      <c r="T49" s="310">
        <f>Balances!G26</f>
        <v>0.20108459999999972</v>
      </c>
      <c r="U49" s="310">
        <f>Balances!G25</f>
        <v>2.5243399999999999E-2</v>
      </c>
      <c r="V49" s="307" t="s">
        <v>44</v>
      </c>
      <c r="X49" s="310">
        <f>Balances!G22</f>
        <v>0.13600000000000001</v>
      </c>
      <c r="Y49" s="310">
        <f>Balances!G24</f>
        <v>3.4000000000000002E-2</v>
      </c>
      <c r="Z49" s="307" t="s">
        <v>44</v>
      </c>
      <c r="AB49" s="310">
        <f>Balances!G21</f>
        <v>0.45</v>
      </c>
      <c r="AC49" s="310">
        <f>Balances!G23</f>
        <v>3.9999999999999994E-2</v>
      </c>
      <c r="AD49" s="307" t="s">
        <v>44</v>
      </c>
    </row>
    <row r="50" spans="2:30" ht="16.5" thickTop="1" thickBot="1" x14ac:dyDescent="0.3">
      <c r="F50" s="289"/>
      <c r="J50" s="289"/>
      <c r="M50" s="289"/>
      <c r="R50" s="311">
        <f>100*R49/$V41</f>
        <v>45.035102040816341</v>
      </c>
      <c r="S50" s="311">
        <f t="shared" ref="S50:T50" si="2">100*S49/$V41</f>
        <v>8.7755102040816393</v>
      </c>
      <c r="T50" s="311">
        <f t="shared" si="2"/>
        <v>41.037673469387727</v>
      </c>
      <c r="U50" s="311">
        <f>100*U49/$V41</f>
        <v>5.1517142857142897</v>
      </c>
      <c r="V50" s="311" t="s">
        <v>107</v>
      </c>
      <c r="X50" s="311">
        <f>100*X49/$Z41</f>
        <v>80</v>
      </c>
      <c r="Y50" s="311">
        <f>100*Y49/$Z41</f>
        <v>20</v>
      </c>
      <c r="Z50" s="308" t="s">
        <v>107</v>
      </c>
      <c r="AB50" s="311">
        <f>100*AB49/$AC41</f>
        <v>91.83673469387756</v>
      </c>
      <c r="AC50" s="311">
        <f>100*AC49/$AC41</f>
        <v>8.1632653061224474</v>
      </c>
      <c r="AD50" s="311" t="s">
        <v>107</v>
      </c>
    </row>
    <row r="51" spans="2:30" ht="16.5" thickTop="1" thickBot="1" x14ac:dyDescent="0.3">
      <c r="D51" s="281"/>
      <c r="E51" s="281"/>
      <c r="F51" s="282"/>
      <c r="J51" s="282"/>
      <c r="M51" s="282"/>
      <c r="R51" s="312">
        <f>100*R49/$T$29</f>
        <v>6.0458082191780802</v>
      </c>
      <c r="S51" s="312">
        <f t="shared" ref="S51:U51" si="3">100*S49/$T$29</f>
        <v>1.178082191780822</v>
      </c>
      <c r="T51" s="312">
        <f t="shared" si="3"/>
        <v>5.5091671232876642</v>
      </c>
      <c r="U51" s="312">
        <f t="shared" si="3"/>
        <v>0.69159999999999999</v>
      </c>
      <c r="V51" s="312" t="s">
        <v>107</v>
      </c>
      <c r="X51" s="312">
        <f>100*X49/$T$29</f>
        <v>3.7260273972602747</v>
      </c>
      <c r="Y51" s="312">
        <f>100*Y49/$T$29</f>
        <v>0.93150684931506866</v>
      </c>
      <c r="Z51" s="309" t="s">
        <v>107</v>
      </c>
      <c r="AB51" s="312">
        <f>100*AB49/$T$29</f>
        <v>12.328767123287671</v>
      </c>
      <c r="AC51" s="312">
        <f>100*AC49/$T$29</f>
        <v>1.095890410958904</v>
      </c>
      <c r="AD51" s="312" t="s">
        <v>107</v>
      </c>
    </row>
    <row r="52" spans="2:30" ht="15.75" thickTop="1" x14ac:dyDescent="0.25">
      <c r="C52" s="280"/>
      <c r="I52" s="280"/>
      <c r="L52" s="280"/>
    </row>
    <row r="53" spans="2:30" ht="15.75" thickBot="1" x14ac:dyDescent="0.3">
      <c r="C53" s="282"/>
      <c r="I53" s="282"/>
      <c r="L53" s="282"/>
    </row>
    <row r="54" spans="2:30" ht="16.5" thickTop="1" thickBot="1" x14ac:dyDescent="0.3">
      <c r="B54" s="300" t="s">
        <v>339</v>
      </c>
      <c r="C54" s="300" t="s">
        <v>340</v>
      </c>
      <c r="D54" s="300" t="s">
        <v>336</v>
      </c>
      <c r="E54" s="300" t="s">
        <v>337</v>
      </c>
      <c r="F54" s="300"/>
      <c r="H54" s="300" t="s">
        <v>341</v>
      </c>
      <c r="I54" s="300" t="s">
        <v>342</v>
      </c>
      <c r="J54" s="301"/>
      <c r="L54" s="300" t="s">
        <v>338</v>
      </c>
      <c r="M54" s="300" t="s">
        <v>345</v>
      </c>
      <c r="N54" s="300"/>
    </row>
    <row r="55" spans="2:30" ht="16.5" thickTop="1" thickBot="1" x14ac:dyDescent="0.3">
      <c r="B55" s="297">
        <f>Balances!G4</f>
        <v>0.64613499999999979</v>
      </c>
      <c r="C55" s="297">
        <f>Balances!G5</f>
        <v>0.10818599999999999</v>
      </c>
      <c r="D55" s="297">
        <f>Balances!G11</f>
        <v>2.1432449999999967</v>
      </c>
      <c r="E55" s="297">
        <f>Balances!G10</f>
        <v>0.25243399999999999</v>
      </c>
      <c r="F55" s="297" t="s">
        <v>343</v>
      </c>
      <c r="H55" s="297">
        <f>Balances!G7</f>
        <v>0.68</v>
      </c>
      <c r="I55" s="297">
        <f>Balances!G9</f>
        <v>0.17</v>
      </c>
      <c r="J55" s="294" t="s">
        <v>343</v>
      </c>
      <c r="L55" s="297">
        <f>Balances!G6</f>
        <v>1.8</v>
      </c>
      <c r="M55" s="297">
        <f>Balances!G8</f>
        <v>0.19999999999999996</v>
      </c>
      <c r="N55" s="297" t="s">
        <v>343</v>
      </c>
    </row>
    <row r="56" spans="2:30" ht="16.5" thickTop="1" thickBot="1" x14ac:dyDescent="0.3">
      <c r="B56" s="298">
        <f>100*B55/$H$41</f>
        <v>10.768916666666662</v>
      </c>
      <c r="C56" s="298">
        <f>100*C55/$H$41</f>
        <v>1.8030999999999997</v>
      </c>
      <c r="D56" s="298">
        <f>100*D55/$H$41</f>
        <v>35.720749999999946</v>
      </c>
      <c r="E56" s="298">
        <f>100*E55/$H$41</f>
        <v>4.2072333333333329</v>
      </c>
      <c r="F56" s="298" t="s">
        <v>107</v>
      </c>
      <c r="H56" s="298">
        <f>100*H55/$H$41</f>
        <v>11.333333333333334</v>
      </c>
      <c r="I56" s="298">
        <f>100*I55/$H$41</f>
        <v>2.8333333333333335</v>
      </c>
      <c r="J56" s="295" t="s">
        <v>107</v>
      </c>
      <c r="L56" s="298">
        <f>100*L55/$H$41</f>
        <v>30</v>
      </c>
      <c r="M56" s="298">
        <f>100*M55/$H$41</f>
        <v>3.3333333333333326</v>
      </c>
      <c r="N56" s="298" t="s">
        <v>107</v>
      </c>
    </row>
    <row r="57" spans="2:30" ht="16.5" thickTop="1" thickBot="1" x14ac:dyDescent="0.3">
      <c r="B57" s="299">
        <f>100*B55/$H$29</f>
        <v>2.1537833333333323</v>
      </c>
      <c r="C57" s="299">
        <f>100*C55/$H$29</f>
        <v>0.36061999999999994</v>
      </c>
      <c r="D57" s="299">
        <f>100*D55/$H$29</f>
        <v>7.1441499999999882</v>
      </c>
      <c r="E57" s="299">
        <f>100*E55/$H$29</f>
        <v>0.84144666666666657</v>
      </c>
      <c r="F57" s="299" t="s">
        <v>107</v>
      </c>
      <c r="H57" s="299">
        <f>100*H55/$H$29</f>
        <v>2.2666666666666666</v>
      </c>
      <c r="I57" s="299">
        <f>100*I55/$H$29</f>
        <v>0.56666666666666665</v>
      </c>
      <c r="J57" s="296" t="s">
        <v>107</v>
      </c>
      <c r="L57" s="299">
        <f>100*L55/$H$29</f>
        <v>6</v>
      </c>
      <c r="M57" s="299">
        <f>100*M55/$H$29</f>
        <v>0.66666666666666652</v>
      </c>
      <c r="N57" s="299" t="s">
        <v>107</v>
      </c>
    </row>
    <row r="58" spans="2:30" ht="15.75" thickTop="1" x14ac:dyDescent="0.25"/>
  </sheetData>
  <mergeCells count="48">
    <mergeCell ref="H4:J4"/>
    <mergeCell ref="D1:G1"/>
    <mergeCell ref="D2:G2"/>
    <mergeCell ref="C12:E12"/>
    <mergeCell ref="K12:L12"/>
    <mergeCell ref="H7:I7"/>
    <mergeCell ref="H6:I6"/>
    <mergeCell ref="H5:I5"/>
    <mergeCell ref="C10:E10"/>
    <mergeCell ref="C11:E11"/>
    <mergeCell ref="C9:F9"/>
    <mergeCell ref="K9:M9"/>
    <mergeCell ref="K10:L10"/>
    <mergeCell ref="J14:K14"/>
    <mergeCell ref="N14:O14"/>
    <mergeCell ref="K11:L11"/>
    <mergeCell ref="H28:J28"/>
    <mergeCell ref="H29:I29"/>
    <mergeCell ref="F46:G46"/>
    <mergeCell ref="J46:K46"/>
    <mergeCell ref="M46:N46"/>
    <mergeCell ref="H30:I30"/>
    <mergeCell ref="H31:I31"/>
    <mergeCell ref="K34:L34"/>
    <mergeCell ref="E34:F34"/>
    <mergeCell ref="H40:I40"/>
    <mergeCell ref="V40:W40"/>
    <mergeCell ref="Z40:AA40"/>
    <mergeCell ref="AC40:AD40"/>
    <mergeCell ref="W34:X34"/>
    <mergeCell ref="B40:C40"/>
    <mergeCell ref="T28:V28"/>
    <mergeCell ref="T29:U29"/>
    <mergeCell ref="T30:U30"/>
    <mergeCell ref="T31:U31"/>
    <mergeCell ref="R34:S34"/>
    <mergeCell ref="V4:X4"/>
    <mergeCell ref="V5:W5"/>
    <mergeCell ref="V6:W6"/>
    <mergeCell ref="V7:W7"/>
    <mergeCell ref="T10:W10"/>
    <mergeCell ref="T11:V11"/>
    <mergeCell ref="T12:V12"/>
    <mergeCell ref="T13:V13"/>
    <mergeCell ref="Y10:AB10"/>
    <mergeCell ref="Y11:AA11"/>
    <mergeCell ref="Y12:AA12"/>
    <mergeCell ref="Y13:AA1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5"/>
  <sheetViews>
    <sheetView showGridLines="0" zoomScale="85" zoomScaleNormal="85" workbookViewId="0">
      <selection activeCell="E10" sqref="E10"/>
    </sheetView>
  </sheetViews>
  <sheetFormatPr defaultColWidth="9.140625" defaultRowHeight="18.75" customHeight="1" x14ac:dyDescent="0.25"/>
  <cols>
    <col min="1" max="1" width="4.28515625" customWidth="1"/>
    <col min="2" max="2" width="42" bestFit="1" customWidth="1"/>
    <col min="3" max="3" width="11" customWidth="1"/>
    <col min="4" max="4" width="13.28515625" customWidth="1"/>
    <col min="6" max="6" width="37.5703125" bestFit="1" customWidth="1"/>
    <col min="10" max="10" width="37.42578125" bestFit="1" customWidth="1"/>
    <col min="11" max="11" width="9" customWidth="1"/>
    <col min="12" max="12" width="17.140625" customWidth="1"/>
  </cols>
  <sheetData>
    <row r="1" spans="2:13" ht="18.75" customHeight="1" thickBot="1" x14ac:dyDescent="0.3"/>
    <row r="2" spans="2:13" ht="18.75" customHeight="1" thickBot="1" x14ac:dyDescent="0.3">
      <c r="B2" s="168" t="s">
        <v>104</v>
      </c>
      <c r="C2" s="169" t="s">
        <v>68</v>
      </c>
      <c r="D2" s="170" t="s">
        <v>109</v>
      </c>
      <c r="E2" s="327"/>
      <c r="F2" s="160" t="s">
        <v>195</v>
      </c>
      <c r="G2" s="161" t="s">
        <v>152</v>
      </c>
      <c r="H2" s="162" t="s">
        <v>109</v>
      </c>
      <c r="I2" s="327"/>
      <c r="J2" s="175" t="s">
        <v>200</v>
      </c>
      <c r="K2" s="176" t="s">
        <v>13</v>
      </c>
      <c r="L2" s="177" t="s">
        <v>1</v>
      </c>
      <c r="M2" s="1"/>
    </row>
    <row r="3" spans="2:13" ht="18.75" customHeight="1" x14ac:dyDescent="0.25">
      <c r="B3" s="32" t="s">
        <v>2</v>
      </c>
      <c r="C3" s="226">
        <f>'Check fractions'!H4*'Check fractions'!D5/100</f>
        <v>19.999999999999996</v>
      </c>
      <c r="D3" s="227">
        <f t="shared" ref="D3:D11" si="0">C3/$C$24</f>
        <v>7.2098053352559477E-2</v>
      </c>
      <c r="E3" s="327"/>
      <c r="F3" s="163" t="s">
        <v>48</v>
      </c>
      <c r="G3" s="164">
        <f>Data!C23</f>
        <v>24</v>
      </c>
      <c r="H3" s="165">
        <f t="shared" ref="H3:H11" si="1">G3/$G$12</f>
        <v>0.8</v>
      </c>
      <c r="I3" s="327"/>
      <c r="J3" s="379" t="s">
        <v>196</v>
      </c>
      <c r="K3" s="380">
        <v>7.0000000000000007E-2</v>
      </c>
      <c r="L3" s="381" t="s">
        <v>197</v>
      </c>
    </row>
    <row r="4" spans="2:13" ht="18.75" customHeight="1" x14ac:dyDescent="0.25">
      <c r="B4" s="31" t="s">
        <v>3</v>
      </c>
      <c r="C4" s="33">
        <f>'Check fractions'!H5-Balances!C3-Balances!C7</f>
        <v>45</v>
      </c>
      <c r="D4" s="227">
        <f t="shared" si="0"/>
        <v>0.16222062004325885</v>
      </c>
      <c r="E4" s="327"/>
      <c r="F4" s="32" t="s">
        <v>191</v>
      </c>
      <c r="G4" s="178">
        <f>K3*(C10+C15+C16+C17+C18+C19)</f>
        <v>0.64613499999999979</v>
      </c>
      <c r="H4" s="227">
        <f t="shared" si="1"/>
        <v>2.1537833333333326E-2</v>
      </c>
      <c r="I4" s="327"/>
      <c r="J4" s="382" t="s">
        <v>298</v>
      </c>
      <c r="K4" s="383">
        <v>0.06</v>
      </c>
      <c r="L4" s="384" t="s">
        <v>197</v>
      </c>
    </row>
    <row r="5" spans="2:13" ht="18.75" customHeight="1" x14ac:dyDescent="0.25">
      <c r="B5" s="31" t="s">
        <v>105</v>
      </c>
      <c r="C5" s="33">
        <f>('Check fractions'!H4-'Check fractions'!H5)*(1-'Check fractions'!D13/100)</f>
        <v>68</v>
      </c>
      <c r="D5" s="227">
        <f t="shared" si="0"/>
        <v>0.24513338139870225</v>
      </c>
      <c r="E5" s="327"/>
      <c r="F5" s="32" t="s">
        <v>299</v>
      </c>
      <c r="G5" s="178">
        <f>(C11+C22)*K4</f>
        <v>0.10818599999999999</v>
      </c>
      <c r="H5" s="227">
        <f t="shared" si="1"/>
        <v>3.6061999999999995E-3</v>
      </c>
      <c r="I5" s="327"/>
      <c r="J5" s="385" t="s">
        <v>220</v>
      </c>
      <c r="K5" s="386">
        <v>0.01</v>
      </c>
      <c r="L5" s="384" t="s">
        <v>197</v>
      </c>
    </row>
    <row r="6" spans="2:13" ht="18.75" customHeight="1" x14ac:dyDescent="0.25">
      <c r="B6" s="31" t="s">
        <v>106</v>
      </c>
      <c r="C6" s="33">
        <f>Data!C14-Data!C15-SUM(C9:C11)-SUM(C15:C22)</f>
        <v>71.036999999999978</v>
      </c>
      <c r="D6" s="227">
        <f t="shared" si="0"/>
        <v>0.25608147080028831</v>
      </c>
      <c r="E6" s="327"/>
      <c r="F6" s="32" t="s">
        <v>192</v>
      </c>
      <c r="G6" s="178">
        <f>'Sumo forms'!D29/100*Balances!C4</f>
        <v>1.8</v>
      </c>
      <c r="H6" s="227">
        <f t="shared" si="1"/>
        <v>6.0000000000000005E-2</v>
      </c>
      <c r="I6" s="327"/>
      <c r="J6" s="385" t="s">
        <v>222</v>
      </c>
      <c r="K6" s="386">
        <v>0.01</v>
      </c>
      <c r="L6" s="384" t="s">
        <v>197</v>
      </c>
    </row>
    <row r="7" spans="2:13" ht="18.75" customHeight="1" x14ac:dyDescent="0.25">
      <c r="B7" s="31" t="s">
        <v>7</v>
      </c>
      <c r="C7" s="226">
        <f>'Check fractions'!H4*'Check fractions'!D6/100</f>
        <v>19.999999999999996</v>
      </c>
      <c r="D7" s="227">
        <f t="shared" si="0"/>
        <v>7.2098053352559477E-2</v>
      </c>
      <c r="E7" s="327"/>
      <c r="F7" s="32" t="s">
        <v>206</v>
      </c>
      <c r="G7" s="178">
        <f>K5*Balances!C5</f>
        <v>0.68</v>
      </c>
      <c r="H7" s="227">
        <f t="shared" si="1"/>
        <v>2.2666666666666668E-2</v>
      </c>
      <c r="I7" s="327"/>
      <c r="J7" s="385" t="s">
        <v>221</v>
      </c>
      <c r="K7" s="386">
        <v>0.01</v>
      </c>
      <c r="L7" s="384" t="s">
        <v>197</v>
      </c>
    </row>
    <row r="8" spans="2:13" ht="18.75" customHeight="1" x14ac:dyDescent="0.25">
      <c r="B8" s="31" t="s">
        <v>8</v>
      </c>
      <c r="C8" s="33">
        <f>('Check fractions'!H4-'Check fractions'!H5)*'Check fractions'!D13/100</f>
        <v>17</v>
      </c>
      <c r="D8" s="227">
        <f t="shared" si="0"/>
        <v>6.1283345349675562E-2</v>
      </c>
      <c r="E8" s="327"/>
      <c r="F8" s="32" t="s">
        <v>207</v>
      </c>
      <c r="G8" s="178">
        <f>K6*Balances!C7</f>
        <v>0.19999999999999996</v>
      </c>
      <c r="H8" s="227">
        <f t="shared" si="1"/>
        <v>6.6666666666666654E-3</v>
      </c>
      <c r="I8" s="327"/>
      <c r="J8" s="387" t="s">
        <v>198</v>
      </c>
      <c r="K8" s="388">
        <v>0.02</v>
      </c>
      <c r="L8" s="389" t="s">
        <v>199</v>
      </c>
    </row>
    <row r="9" spans="2:13" ht="18.75" customHeight="1" x14ac:dyDescent="0.25">
      <c r="B9" s="31" t="s">
        <v>9</v>
      </c>
      <c r="C9" s="33">
        <f>'Check fractions'!G3*'Check fractions'!D10/100</f>
        <v>25.243399999999998</v>
      </c>
      <c r="D9" s="227">
        <f t="shared" si="0"/>
        <v>9.0999999999999998E-2</v>
      </c>
      <c r="E9" s="327"/>
      <c r="F9" s="32" t="s">
        <v>208</v>
      </c>
      <c r="G9" s="178">
        <f>K7*Balances!C8</f>
        <v>0.17</v>
      </c>
      <c r="H9" s="227">
        <f t="shared" si="1"/>
        <v>5.6666666666666671E-3</v>
      </c>
      <c r="I9" s="327"/>
      <c r="J9" s="387" t="s">
        <v>223</v>
      </c>
      <c r="K9" s="388">
        <v>2E-3</v>
      </c>
      <c r="L9" s="389" t="s">
        <v>199</v>
      </c>
    </row>
    <row r="10" spans="2:13" ht="18.75" customHeight="1" x14ac:dyDescent="0.25">
      <c r="B10" s="31" t="s">
        <v>295</v>
      </c>
      <c r="C10" s="33">
        <f>'Check fractions'!G3*'Check fractions'!D11/100</f>
        <v>9.0154999999999994</v>
      </c>
      <c r="D10" s="227">
        <f t="shared" si="0"/>
        <v>3.2500000000000001E-2</v>
      </c>
      <c r="E10" s="327"/>
      <c r="F10" s="32" t="s">
        <v>194</v>
      </c>
      <c r="G10" s="178">
        <f>'Sumo forms'!D30/100*Balances!C9</f>
        <v>0.25243399999999999</v>
      </c>
      <c r="H10" s="227">
        <f t="shared" si="1"/>
        <v>8.414466666666667E-3</v>
      </c>
      <c r="I10" s="327"/>
      <c r="J10" s="387" t="s">
        <v>225</v>
      </c>
      <c r="K10" s="388">
        <v>2E-3</v>
      </c>
      <c r="L10" s="389" t="s">
        <v>199</v>
      </c>
    </row>
    <row r="11" spans="2:13" ht="18.75" customHeight="1" thickBot="1" x14ac:dyDescent="0.3">
      <c r="B11" s="34" t="s">
        <v>95</v>
      </c>
      <c r="C11" s="216">
        <f>'Check fractions'!D12/100*C10</f>
        <v>1.8030999999999999</v>
      </c>
      <c r="D11" s="217">
        <f t="shared" si="0"/>
        <v>6.5000000000000006E-3</v>
      </c>
      <c r="E11" s="327"/>
      <c r="F11" s="166" t="s">
        <v>193</v>
      </c>
      <c r="G11" s="179">
        <f>G12-SUM(G3:G10)</f>
        <v>2.1432449999999967</v>
      </c>
      <c r="H11" s="167">
        <f t="shared" si="1"/>
        <v>7.1441499999999894E-2</v>
      </c>
      <c r="I11" s="327"/>
      <c r="J11" s="387" t="s">
        <v>224</v>
      </c>
      <c r="K11" s="388">
        <v>2E-3</v>
      </c>
      <c r="L11" s="389" t="s">
        <v>199</v>
      </c>
    </row>
    <row r="12" spans="2:13" ht="18.75" customHeight="1" thickBot="1" x14ac:dyDescent="0.3">
      <c r="B12" s="375"/>
      <c r="C12" s="327"/>
      <c r="D12" s="327"/>
      <c r="E12" s="327"/>
      <c r="F12" s="114" t="s">
        <v>212</v>
      </c>
      <c r="G12" s="36">
        <f>Data!C7</f>
        <v>30</v>
      </c>
      <c r="H12" s="37">
        <f>SUM(H3:H11)</f>
        <v>1.0000000000000002</v>
      </c>
      <c r="I12" s="327"/>
      <c r="J12" s="393" t="s">
        <v>284</v>
      </c>
      <c r="K12" s="394">
        <v>1.2</v>
      </c>
      <c r="L12" s="395" t="s">
        <v>285</v>
      </c>
    </row>
    <row r="13" spans="2:13" ht="18.75" customHeight="1" thickBot="1" x14ac:dyDescent="0.3">
      <c r="B13" s="168" t="s">
        <v>108</v>
      </c>
      <c r="C13" s="169" t="s">
        <v>68</v>
      </c>
      <c r="D13" s="170" t="s">
        <v>109</v>
      </c>
      <c r="E13" s="327"/>
      <c r="F13" s="327"/>
      <c r="G13" s="327"/>
      <c r="H13" s="327"/>
      <c r="I13" s="327"/>
      <c r="J13" s="393" t="s">
        <v>286</v>
      </c>
      <c r="K13" s="394">
        <v>0.2</v>
      </c>
      <c r="L13" s="395" t="s">
        <v>285</v>
      </c>
    </row>
    <row r="14" spans="2:13" ht="18.75" customHeight="1" thickBot="1" x14ac:dyDescent="0.3">
      <c r="B14" s="195" t="s">
        <v>4</v>
      </c>
      <c r="C14" s="192">
        <f>-'Sumo forms'!D45</f>
        <v>0</v>
      </c>
      <c r="D14" s="214">
        <f t="shared" ref="D14:D22" si="2">C14/$C$24</f>
        <v>0</v>
      </c>
      <c r="E14" s="327"/>
      <c r="F14" s="327"/>
      <c r="G14" s="327"/>
      <c r="H14" s="327"/>
      <c r="I14" s="327"/>
      <c r="J14" s="390" t="s">
        <v>385</v>
      </c>
      <c r="K14" s="391">
        <v>8.2900000000000001E-2</v>
      </c>
      <c r="L14" s="392" t="s">
        <v>387</v>
      </c>
    </row>
    <row r="15" spans="2:13" ht="18.75" customHeight="1" thickBot="1" x14ac:dyDescent="0.3">
      <c r="B15" s="241" t="s">
        <v>364</v>
      </c>
      <c r="C15" s="218">
        <f>'Sumo forms'!D49</f>
        <v>4.2999999999999997E-2</v>
      </c>
      <c r="D15" s="219">
        <f t="shared" si="2"/>
        <v>1.5501081470800288E-4</v>
      </c>
      <c r="E15" s="327"/>
      <c r="F15" s="160" t="s">
        <v>205</v>
      </c>
      <c r="G15" s="161" t="s">
        <v>153</v>
      </c>
      <c r="H15" s="162" t="s">
        <v>109</v>
      </c>
      <c r="I15" s="327"/>
      <c r="J15" s="393" t="s">
        <v>388</v>
      </c>
      <c r="K15" s="394">
        <v>1</v>
      </c>
      <c r="L15" s="395" t="s">
        <v>390</v>
      </c>
    </row>
    <row r="16" spans="2:13" ht="18.75" customHeight="1" x14ac:dyDescent="0.25">
      <c r="B16" s="241" t="s">
        <v>265</v>
      </c>
      <c r="C16" s="218">
        <f>'Sumo forms'!D50</f>
        <v>4.2999999999999997E-2</v>
      </c>
      <c r="D16" s="219">
        <f t="shared" si="2"/>
        <v>1.5501081470800288E-4</v>
      </c>
      <c r="E16" s="327"/>
      <c r="F16" s="163" t="s">
        <v>49</v>
      </c>
      <c r="G16" s="164">
        <f>Data!C24</f>
        <v>2.5</v>
      </c>
      <c r="H16" s="165">
        <f>G16/$G$27</f>
        <v>0.68493150684931503</v>
      </c>
      <c r="I16" s="327"/>
      <c r="J16" s="393" t="s">
        <v>389</v>
      </c>
      <c r="K16" s="394">
        <v>0.1</v>
      </c>
      <c r="L16" s="395" t="s">
        <v>390</v>
      </c>
    </row>
    <row r="17" spans="2:12" ht="18.75" customHeight="1" x14ac:dyDescent="0.25">
      <c r="B17" s="241" t="s">
        <v>266</v>
      </c>
      <c r="C17" s="218">
        <f>'Sumo forms'!D51</f>
        <v>4.2999999999999997E-2</v>
      </c>
      <c r="D17" s="219">
        <f t="shared" si="2"/>
        <v>1.5501081470800288E-4</v>
      </c>
      <c r="E17" s="327"/>
      <c r="F17" s="32" t="s">
        <v>201</v>
      </c>
      <c r="G17" s="178">
        <f>K8*(C10+C11+C15+C16+C17+C18+C19+C22)</f>
        <v>0.22067199999999992</v>
      </c>
      <c r="H17" s="227">
        <f>G17/$G$27</f>
        <v>6.0458082191780803E-2</v>
      </c>
      <c r="I17" s="327"/>
      <c r="J17" s="390" t="s">
        <v>384</v>
      </c>
      <c r="K17" s="391">
        <v>0.1135</v>
      </c>
      <c r="L17" s="392" t="s">
        <v>386</v>
      </c>
    </row>
    <row r="18" spans="2:12" ht="18.75" customHeight="1" x14ac:dyDescent="0.25">
      <c r="B18" s="241" t="s">
        <v>267</v>
      </c>
      <c r="C18" s="218">
        <f>'Sumo forms'!D52</f>
        <v>4.2999999999999997E-2</v>
      </c>
      <c r="D18" s="219">
        <f t="shared" si="2"/>
        <v>1.5501081470800288E-4</v>
      </c>
      <c r="E18" s="327"/>
      <c r="F18" s="225" t="s">
        <v>290</v>
      </c>
      <c r="G18" s="226">
        <f>'Sumo forms'!D56</f>
        <v>4.2999999999999997E-2</v>
      </c>
      <c r="H18" s="227">
        <f>G18/$G$27</f>
        <v>1.1780821917808219E-2</v>
      </c>
      <c r="I18" s="327"/>
      <c r="J18" s="222" t="s">
        <v>382</v>
      </c>
      <c r="K18" s="223">
        <f>(30+31+3*16)/31</f>
        <v>3.5161290322580645</v>
      </c>
      <c r="L18" s="224" t="s">
        <v>383</v>
      </c>
    </row>
    <row r="19" spans="2:12" ht="18.75" customHeight="1" x14ac:dyDescent="0.25">
      <c r="B19" s="241" t="s">
        <v>268</v>
      </c>
      <c r="C19" s="218">
        <f>'Sumo forms'!D53</f>
        <v>4.2999999999999997E-2</v>
      </c>
      <c r="D19" s="219">
        <f t="shared" si="2"/>
        <v>1.5501081470800288E-4</v>
      </c>
      <c r="E19" s="327"/>
      <c r="F19" s="225" t="s">
        <v>291</v>
      </c>
      <c r="G19" s="226">
        <f>('Sumo forms'!D64+'Sumo forms'!D66)*A_SFHFO_L*(AM_P/AM_Fe)+('Sumo forms'!D63+'Sumo forms'!D65)*A_SFHFO_H*(AM_P/AM_Fe)</f>
        <v>0</v>
      </c>
      <c r="H19" s="227">
        <f>G19/$G$27</f>
        <v>0</v>
      </c>
      <c r="I19" s="327"/>
      <c r="J19" s="222" t="s">
        <v>251</v>
      </c>
      <c r="K19" s="223">
        <v>1.67</v>
      </c>
      <c r="L19" s="224" t="s">
        <v>400</v>
      </c>
    </row>
    <row r="20" spans="2:12" ht="18.75" customHeight="1" x14ac:dyDescent="0.25">
      <c r="B20" s="220" t="s">
        <v>263</v>
      </c>
      <c r="C20" s="218">
        <f>'Sumo forms'!D46</f>
        <v>4.2999999999999997E-2</v>
      </c>
      <c r="D20" s="219">
        <f t="shared" si="2"/>
        <v>1.5501081470800288E-4</v>
      </c>
      <c r="E20" s="327"/>
      <c r="F20" s="225" t="s">
        <v>402</v>
      </c>
      <c r="G20" s="226">
        <f>('Sumo forms'!D69+'Sumo forms'!D71)*A_SFHAO_L*(AM_P/AM_Al) +('Sumo forms'!D68+'Sumo forms'!D70)*A_SFHAO_H*(AM_P/AM_Al)</f>
        <v>0</v>
      </c>
      <c r="H20" s="227">
        <f>G20/$G$27</f>
        <v>0</v>
      </c>
      <c r="I20" s="327"/>
      <c r="J20" s="396" t="s">
        <v>289</v>
      </c>
      <c r="K20" s="397">
        <v>55.844999999999999</v>
      </c>
      <c r="L20" s="398" t="s">
        <v>288</v>
      </c>
    </row>
    <row r="21" spans="2:12" ht="18.75" customHeight="1" x14ac:dyDescent="0.25">
      <c r="B21" s="220" t="s">
        <v>283</v>
      </c>
      <c r="C21" s="218">
        <f>'Sumo forms'!D47</f>
        <v>4.2999999999999997E-2</v>
      </c>
      <c r="D21" s="219">
        <f t="shared" si="2"/>
        <v>1.5501081470800288E-4</v>
      </c>
      <c r="E21" s="327"/>
      <c r="F21" s="32" t="s">
        <v>202</v>
      </c>
      <c r="G21" s="178">
        <f>'Sumo forms'!D31/100*Balances!C4</f>
        <v>0.45</v>
      </c>
      <c r="H21" s="227">
        <f t="shared" ref="H21:H26" si="3">G21/$G$27</f>
        <v>0.12328767123287672</v>
      </c>
      <c r="I21" s="327"/>
      <c r="J21" s="396" t="s">
        <v>391</v>
      </c>
      <c r="K21" s="397">
        <v>26.9815</v>
      </c>
      <c r="L21" s="398" t="s">
        <v>288</v>
      </c>
    </row>
    <row r="22" spans="2:12" ht="18.75" customHeight="1" thickBot="1" x14ac:dyDescent="0.3">
      <c r="B22" s="215" t="s">
        <v>184</v>
      </c>
      <c r="C22" s="216">
        <f>'Sumo forms'!D48</f>
        <v>0</v>
      </c>
      <c r="D22" s="217">
        <f t="shared" si="2"/>
        <v>0</v>
      </c>
      <c r="E22" s="327"/>
      <c r="F22" s="32" t="s">
        <v>209</v>
      </c>
      <c r="G22" s="178">
        <f>K9*Balances!C5</f>
        <v>0.13600000000000001</v>
      </c>
      <c r="H22" s="227">
        <f t="shared" si="3"/>
        <v>3.7260273972602745E-2</v>
      </c>
      <c r="I22" s="327"/>
      <c r="J22" s="396" t="s">
        <v>287</v>
      </c>
      <c r="K22" s="397">
        <v>30.973762199999999</v>
      </c>
      <c r="L22" s="398" t="s">
        <v>288</v>
      </c>
    </row>
    <row r="23" spans="2:12" ht="18.75" customHeight="1" thickBot="1" x14ac:dyDescent="0.3">
      <c r="B23" s="376"/>
      <c r="C23" s="327"/>
      <c r="D23" s="327"/>
      <c r="E23" s="327"/>
      <c r="F23" s="32" t="s">
        <v>210</v>
      </c>
      <c r="G23" s="178">
        <f>K10*Balances!C7</f>
        <v>3.9999999999999994E-2</v>
      </c>
      <c r="H23" s="227">
        <f t="shared" si="3"/>
        <v>1.0958904109589039E-2</v>
      </c>
      <c r="I23" s="327"/>
      <c r="J23" s="399" t="s">
        <v>393</v>
      </c>
      <c r="K23" s="400">
        <v>106.86702</v>
      </c>
      <c r="L23" s="401" t="s">
        <v>288</v>
      </c>
    </row>
    <row r="24" spans="2:12" ht="18.75" customHeight="1" thickBot="1" x14ac:dyDescent="0.3">
      <c r="B24" s="114" t="s">
        <v>16</v>
      </c>
      <c r="C24" s="36">
        <f>Data!C14</f>
        <v>277.39999999999998</v>
      </c>
      <c r="D24" s="37">
        <f>SUM(D3:D11)+SUM(D14:D22)</f>
        <v>0.99999999999999989</v>
      </c>
      <c r="E24" s="327"/>
      <c r="F24" s="32" t="s">
        <v>211</v>
      </c>
      <c r="G24" s="178">
        <f>K11*Balances!C8</f>
        <v>3.4000000000000002E-2</v>
      </c>
      <c r="H24" s="227">
        <f t="shared" si="3"/>
        <v>9.3150684931506862E-3</v>
      </c>
      <c r="I24" s="327"/>
      <c r="J24" s="396" t="s">
        <v>394</v>
      </c>
      <c r="K24" s="397">
        <v>78.003519999999995</v>
      </c>
      <c r="L24" s="398" t="s">
        <v>288</v>
      </c>
    </row>
    <row r="25" spans="2:12" ht="18.75" customHeight="1" thickBot="1" x14ac:dyDescent="0.3">
      <c r="B25" s="376"/>
      <c r="C25" s="327"/>
      <c r="D25" s="327"/>
      <c r="E25" s="327"/>
      <c r="F25" s="32" t="s">
        <v>204</v>
      </c>
      <c r="G25" s="178">
        <f>'Sumo forms'!D32/100*Balances!C9</f>
        <v>2.5243399999999999E-2</v>
      </c>
      <c r="H25" s="227">
        <f t="shared" si="3"/>
        <v>6.9160000000000003E-3</v>
      </c>
      <c r="I25" s="327"/>
      <c r="J25" s="402" t="s">
        <v>392</v>
      </c>
      <c r="K25" s="403">
        <v>94.971362200000002</v>
      </c>
      <c r="L25" s="404" t="s">
        <v>288</v>
      </c>
    </row>
    <row r="26" spans="2:12" ht="18.75" customHeight="1" thickBot="1" x14ac:dyDescent="0.3">
      <c r="B26" s="168" t="s">
        <v>358</v>
      </c>
      <c r="C26" s="169" t="s">
        <v>143</v>
      </c>
      <c r="D26" s="170" t="s">
        <v>109</v>
      </c>
      <c r="E26" s="327"/>
      <c r="F26" s="166" t="s">
        <v>203</v>
      </c>
      <c r="G26" s="179">
        <f>G27-SUM(G16:G25)</f>
        <v>0.20108459999999972</v>
      </c>
      <c r="H26" s="167">
        <f t="shared" si="3"/>
        <v>5.5091671232876636E-2</v>
      </c>
      <c r="I26" s="327"/>
      <c r="J26" s="327"/>
      <c r="K26" s="327"/>
      <c r="L26" s="327"/>
    </row>
    <row r="27" spans="2:12" ht="18.75" customHeight="1" thickBot="1" x14ac:dyDescent="0.3">
      <c r="B27" s="241" t="s">
        <v>142</v>
      </c>
      <c r="C27" s="218">
        <f>C33-SUM(C28:C32)</f>
        <v>8.0332575366431911</v>
      </c>
      <c r="D27" s="219">
        <f>C27/$C$33</f>
        <v>0.10728706114689655</v>
      </c>
      <c r="F27" s="114" t="s">
        <v>213</v>
      </c>
      <c r="G27" s="36">
        <f>Data!C8</f>
        <v>3.65</v>
      </c>
      <c r="H27" s="37">
        <f>SUM(H16:H26)</f>
        <v>1</v>
      </c>
    </row>
    <row r="28" spans="2:12" ht="18.75" customHeight="1" x14ac:dyDescent="0.25">
      <c r="B28" s="241" t="s">
        <v>395</v>
      </c>
      <c r="C28" s="218">
        <f>(1-f_H2O_HFO_TSS)*(SUM('Sumo forms'!D62:D66)+'Sumo forms'!D59)*MM_HFO/AM_Fe+ ('Sumo forms'!D64+'Sumo forms'!D66)*A_SFHFO_L*(MM_PO4/AM_Fe)+('Sumo forms'!D63+'Sumo forms'!D65)*A_SFHFO_H*(MM_PO4/AM_Fe)</f>
        <v>5.2649875929089438E-3</v>
      </c>
      <c r="D28" s="219">
        <f>C28/$C$33</f>
        <v>7.0315814380589406E-5</v>
      </c>
    </row>
    <row r="29" spans="2:12" ht="18.75" customHeight="1" x14ac:dyDescent="0.25">
      <c r="B29" s="241" t="s">
        <v>396</v>
      </c>
      <c r="C29" s="218">
        <f>(1-f_H2O_HAO_TSS)*(SUM('Sumo forms'!D67:D71)+'Sumo forms'!D61)*MM_HAO/AM_Al+ ('Sumo forms'!D69+'Sumo forms'!D71)*A_SFHAO_L*(MM_PO4/AM_Al) +('Sumo forms'!D68+'Sumo forms'!D70)*A_SFHAO_H*(MM_PO4/AM_Al)</f>
        <v>7.6886148449863785E-3</v>
      </c>
      <c r="D29" s="219">
        <f t="shared" ref="D29:D31" si="4">C29/$C$33</f>
        <v>1.0268423329468925E-4</v>
      </c>
    </row>
    <row r="30" spans="2:12" ht="18.75" customHeight="1" x14ac:dyDescent="0.25">
      <c r="B30" s="220" t="s">
        <v>399</v>
      </c>
      <c r="C30" s="218">
        <f>SUM('Sumo forms'!D72:D76)</f>
        <v>0</v>
      </c>
      <c r="D30" s="219">
        <f t="shared" si="4"/>
        <v>0</v>
      </c>
    </row>
    <row r="31" spans="2:12" ht="18.75" customHeight="1" x14ac:dyDescent="0.25">
      <c r="B31" s="220" t="s">
        <v>403</v>
      </c>
      <c r="C31" s="218">
        <f>i_TSS_PP*'Sumo forms'!D56</f>
        <v>0.15119354838709675</v>
      </c>
      <c r="D31" s="219">
        <f t="shared" si="4"/>
        <v>2.0192445464160894E-3</v>
      </c>
    </row>
    <row r="32" spans="2:12" s="196" customFormat="1" ht="18.75" customHeight="1" thickBot="1" x14ac:dyDescent="0.3">
      <c r="B32" s="215" t="s">
        <v>398</v>
      </c>
      <c r="C32" s="216">
        <f>'Check fractions'!H8</f>
        <v>66.678889348064416</v>
      </c>
      <c r="D32" s="217">
        <f>C32/$C$33</f>
        <v>0.89052069425901215</v>
      </c>
      <c r="G32"/>
      <c r="H32"/>
    </row>
    <row r="33" spans="2:8" ht="15.75" thickBot="1" x14ac:dyDescent="0.3">
      <c r="B33" s="114" t="s">
        <v>397</v>
      </c>
      <c r="C33" s="36">
        <f>'Check fractions'!H7</f>
        <v>74.876294035532595</v>
      </c>
      <c r="D33" s="37">
        <f>SUM(D27:D32)</f>
        <v>1</v>
      </c>
      <c r="F33" s="196"/>
      <c r="G33" s="196"/>
      <c r="H33" s="196"/>
    </row>
    <row r="34" spans="2:8" ht="15" x14ac:dyDescent="0.25">
      <c r="B34" s="196"/>
      <c r="F34" s="196"/>
    </row>
    <row r="35" spans="2:8" ht="18.75" customHeight="1" x14ac:dyDescent="0.25">
      <c r="F35" s="196"/>
    </row>
  </sheetData>
  <sheetProtection selectLockedCells="1"/>
  <conditionalFormatting sqref="G26">
    <cfRule type="cellIs" dxfId="8" priority="3" operator="lessThan">
      <formula>0</formula>
    </cfRule>
  </conditionalFormatting>
  <conditionalFormatting sqref="G11">
    <cfRule type="cellIs" dxfId="7" priority="2" operator="lessThan">
      <formula>0</formula>
    </cfRule>
  </conditionalFormatting>
  <conditionalFormatting sqref="C6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defaultColWidth="9.140625" defaultRowHeight="15" x14ac:dyDescent="0.25"/>
  <cols>
    <col min="1" max="1" width="17.5703125" style="3" customWidth="1"/>
    <col min="2" max="2" width="11.5703125" style="3" bestFit="1" customWidth="1"/>
    <col min="3" max="3" width="12.5703125" style="3" bestFit="1" customWidth="1"/>
    <col min="4" max="4" width="13.7109375" style="3" bestFit="1" customWidth="1"/>
    <col min="5" max="5" width="24" style="3" customWidth="1"/>
    <col min="6" max="6" width="9.140625" style="4"/>
    <col min="7" max="9" width="9.140625" style="5"/>
    <col min="10" max="10" width="12" style="5" customWidth="1"/>
    <col min="11" max="13" width="9.140625" style="5"/>
    <col min="14" max="16384" width="9.140625" style="6"/>
  </cols>
  <sheetData>
    <row r="1" spans="1:20" ht="15.75" x14ac:dyDescent="0.25">
      <c r="A1" s="2" t="s">
        <v>24</v>
      </c>
    </row>
    <row r="2" spans="1:20" x14ac:dyDescent="0.25">
      <c r="P2" s="7" t="s">
        <v>25</v>
      </c>
    </row>
    <row r="3" spans="1:20" x14ac:dyDescent="0.25">
      <c r="A3" s="8" t="s">
        <v>26</v>
      </c>
      <c r="B3" s="30">
        <f>B4*C3</f>
        <v>2400</v>
      </c>
      <c r="C3" s="30">
        <f>Data!C3</f>
        <v>24000</v>
      </c>
      <c r="D3" s="30">
        <f>D4*C3</f>
        <v>240000</v>
      </c>
      <c r="E3" s="9"/>
      <c r="F3" s="29" t="s">
        <v>27</v>
      </c>
      <c r="P3" s="10" t="s">
        <v>32</v>
      </c>
    </row>
    <row r="4" spans="1:20" x14ac:dyDescent="0.25">
      <c r="A4" s="8" t="s">
        <v>135</v>
      </c>
      <c r="B4" s="30">
        <v>0.1</v>
      </c>
      <c r="C4" s="30"/>
      <c r="D4" s="30">
        <v>10</v>
      </c>
      <c r="E4" s="9"/>
      <c r="P4" s="28" t="s">
        <v>136</v>
      </c>
    </row>
    <row r="5" spans="1:20" x14ac:dyDescent="0.25">
      <c r="A5" s="8" t="s">
        <v>28</v>
      </c>
      <c r="B5" s="30">
        <v>1</v>
      </c>
      <c r="C5" s="30">
        <v>2</v>
      </c>
      <c r="D5" s="30">
        <v>4</v>
      </c>
      <c r="F5" s="11" t="s">
        <v>29</v>
      </c>
      <c r="G5" s="12"/>
      <c r="H5" s="12"/>
      <c r="I5" s="12" t="s">
        <v>30</v>
      </c>
      <c r="J5" s="12"/>
      <c r="K5" s="12"/>
      <c r="L5" s="12" t="s">
        <v>31</v>
      </c>
      <c r="P5" s="28" t="s">
        <v>137</v>
      </c>
    </row>
    <row r="6" spans="1:20" x14ac:dyDescent="0.25">
      <c r="A6" s="13" t="s">
        <v>33</v>
      </c>
      <c r="B6" s="14">
        <f>AVERAGE(B10:B33)</f>
        <v>0.99999999999999989</v>
      </c>
      <c r="C6" s="14">
        <f>AVERAGE(C10:C33)</f>
        <v>1</v>
      </c>
      <c r="D6" s="14">
        <f>AVERAGE(D10:D33)</f>
        <v>0.99999999999999989</v>
      </c>
      <c r="E6" s="15"/>
      <c r="F6" s="16"/>
      <c r="G6" s="17">
        <f>AVERAGE(G10:G33)</f>
        <v>2400</v>
      </c>
      <c r="H6" s="18"/>
      <c r="I6" s="18"/>
      <c r="J6" s="17">
        <f>AVERAGE(J10:J33)</f>
        <v>24000</v>
      </c>
      <c r="K6" s="18"/>
      <c r="L6" s="18"/>
      <c r="M6" s="19">
        <f>AVERAGE(M10:M33)</f>
        <v>239999.99999999997</v>
      </c>
    </row>
    <row r="7" spans="1:20" x14ac:dyDescent="0.25">
      <c r="T7" s="3"/>
    </row>
    <row r="8" spans="1:20" x14ac:dyDescent="0.25">
      <c r="A8" s="20" t="s">
        <v>34</v>
      </c>
      <c r="B8" s="20" t="s">
        <v>35</v>
      </c>
      <c r="C8" s="20" t="s">
        <v>36</v>
      </c>
      <c r="D8" s="20" t="s">
        <v>37</v>
      </c>
      <c r="F8" s="21" t="s">
        <v>34</v>
      </c>
      <c r="G8" s="21" t="s">
        <v>14</v>
      </c>
      <c r="I8" s="22" t="s">
        <v>34</v>
      </c>
      <c r="J8" s="22" t="s">
        <v>14</v>
      </c>
      <c r="L8" s="22" t="s">
        <v>34</v>
      </c>
      <c r="M8" s="22" t="s">
        <v>14</v>
      </c>
    </row>
    <row r="9" spans="1:20" x14ac:dyDescent="0.25">
      <c r="A9" s="129" t="s">
        <v>173</v>
      </c>
      <c r="B9" s="129" t="s">
        <v>21</v>
      </c>
      <c r="C9" s="129" t="s">
        <v>21</v>
      </c>
      <c r="D9" s="129" t="s">
        <v>21</v>
      </c>
      <c r="F9" s="130" t="s">
        <v>174</v>
      </c>
      <c r="G9" s="130" t="s">
        <v>175</v>
      </c>
      <c r="I9" s="131" t="s">
        <v>174</v>
      </c>
      <c r="J9" s="131" t="s">
        <v>175</v>
      </c>
      <c r="L9" s="131" t="s">
        <v>174</v>
      </c>
      <c r="M9" s="131" t="s">
        <v>175</v>
      </c>
    </row>
    <row r="10" spans="1:20" x14ac:dyDescent="0.25">
      <c r="A10" s="3">
        <v>0</v>
      </c>
      <c r="B10" s="3">
        <v>0.92370848053769694</v>
      </c>
      <c r="C10" s="3">
        <f t="shared" ref="C10:C33" si="0">1-(1-B10)/$C$5</f>
        <v>0.96185424026884847</v>
      </c>
      <c r="D10" s="3">
        <f t="shared" ref="D10:D33" si="1">1-(1-B10)/$D$5</f>
        <v>0.98092712013442429</v>
      </c>
      <c r="F10" s="132">
        <v>0</v>
      </c>
      <c r="G10" s="22">
        <f t="shared" ref="G10:G33" si="2">$B$3*B10</f>
        <v>2216.9003532904726</v>
      </c>
      <c r="I10" s="132">
        <v>0</v>
      </c>
      <c r="J10" s="23">
        <f>$C$3*C10</f>
        <v>23084.501766452362</v>
      </c>
      <c r="L10" s="132">
        <v>0</v>
      </c>
      <c r="M10" s="22">
        <f>$D$3*D10</f>
        <v>235422.50883226184</v>
      </c>
    </row>
    <row r="11" spans="1:20" x14ac:dyDescent="0.25">
      <c r="A11" s="3">
        <v>4.1666666999999998E-2</v>
      </c>
      <c r="B11" s="3">
        <v>0.79842741753157853</v>
      </c>
      <c r="C11" s="3">
        <f t="shared" si="0"/>
        <v>0.89921370876578921</v>
      </c>
      <c r="D11" s="3">
        <f t="shared" si="1"/>
        <v>0.94960685438289461</v>
      </c>
      <c r="F11" s="132">
        <v>1</v>
      </c>
      <c r="G11" s="22">
        <f t="shared" si="2"/>
        <v>1916.2258020757886</v>
      </c>
      <c r="I11" s="132">
        <v>1</v>
      </c>
      <c r="J11" s="23">
        <f t="shared" ref="J11:J33" si="3">$C$3*C11</f>
        <v>21581.12901037894</v>
      </c>
      <c r="L11" s="132">
        <v>1</v>
      </c>
      <c r="M11" s="22">
        <f t="shared" ref="M11:M33" si="4">$D$3*D11</f>
        <v>227905.64505189471</v>
      </c>
    </row>
    <row r="12" spans="1:20" x14ac:dyDescent="0.25">
      <c r="A12" s="3">
        <v>8.3333332999999996E-2</v>
      </c>
      <c r="B12" s="3">
        <v>0.67606828055988355</v>
      </c>
      <c r="C12" s="3">
        <f t="shared" si="0"/>
        <v>0.83803414027994183</v>
      </c>
      <c r="D12" s="3">
        <f t="shared" si="1"/>
        <v>0.91901707013997092</v>
      </c>
      <c r="F12" s="132">
        <v>2</v>
      </c>
      <c r="G12" s="22">
        <f t="shared" si="2"/>
        <v>1622.5638733437206</v>
      </c>
      <c r="I12" s="132">
        <v>2</v>
      </c>
      <c r="J12" s="23">
        <f t="shared" si="3"/>
        <v>20112.819366718602</v>
      </c>
      <c r="L12" s="132">
        <v>2</v>
      </c>
      <c r="M12" s="22">
        <f t="shared" si="4"/>
        <v>220564.09683359301</v>
      </c>
    </row>
    <row r="13" spans="1:20" x14ac:dyDescent="0.25">
      <c r="A13" s="3">
        <v>0.125</v>
      </c>
      <c r="B13" s="3">
        <v>0.58386775266027691</v>
      </c>
      <c r="C13" s="3">
        <f t="shared" si="0"/>
        <v>0.79193387633013845</v>
      </c>
      <c r="D13" s="3">
        <f t="shared" si="1"/>
        <v>0.89596693816506923</v>
      </c>
      <c r="F13" s="132">
        <v>3</v>
      </c>
      <c r="G13" s="22">
        <f t="shared" si="2"/>
        <v>1401.2826063846646</v>
      </c>
      <c r="I13" s="132">
        <v>3</v>
      </c>
      <c r="J13" s="23">
        <f t="shared" si="3"/>
        <v>19006.413031923323</v>
      </c>
      <c r="L13" s="132">
        <v>3</v>
      </c>
      <c r="M13" s="22">
        <f t="shared" si="4"/>
        <v>215032.06515961661</v>
      </c>
    </row>
    <row r="14" spans="1:20" x14ac:dyDescent="0.25">
      <c r="A14" s="3">
        <v>0.16666666699999999</v>
      </c>
      <c r="B14" s="3">
        <v>0.54484137120169696</v>
      </c>
      <c r="C14" s="3">
        <f t="shared" si="0"/>
        <v>0.77242068560084842</v>
      </c>
      <c r="D14" s="3">
        <f t="shared" si="1"/>
        <v>0.88621034280042421</v>
      </c>
      <c r="F14" s="132">
        <v>4</v>
      </c>
      <c r="G14" s="22">
        <f t="shared" si="2"/>
        <v>1307.6192908840726</v>
      </c>
      <c r="I14" s="132">
        <v>4</v>
      </c>
      <c r="J14" s="23">
        <f t="shared" si="3"/>
        <v>18538.096454420363</v>
      </c>
      <c r="L14" s="132">
        <v>4</v>
      </c>
      <c r="M14" s="22">
        <f t="shared" si="4"/>
        <v>212690.4822721018</v>
      </c>
    </row>
    <row r="15" spans="1:20" x14ac:dyDescent="0.25">
      <c r="A15" s="3">
        <v>0.20833333300000001</v>
      </c>
      <c r="B15" s="3">
        <v>0.57173167120325918</v>
      </c>
      <c r="C15" s="3">
        <f t="shared" si="0"/>
        <v>0.78586583560162959</v>
      </c>
      <c r="D15" s="3">
        <f t="shared" si="1"/>
        <v>0.89293291780081474</v>
      </c>
      <c r="F15" s="132">
        <v>5</v>
      </c>
      <c r="G15" s="22">
        <f t="shared" si="2"/>
        <v>1372.156010887822</v>
      </c>
      <c r="I15" s="132">
        <v>5</v>
      </c>
      <c r="J15" s="23">
        <f t="shared" si="3"/>
        <v>18860.78005443911</v>
      </c>
      <c r="L15" s="132">
        <v>5</v>
      </c>
      <c r="M15" s="22">
        <f t="shared" si="4"/>
        <v>214303.90027219555</v>
      </c>
    </row>
    <row r="16" spans="1:20" x14ac:dyDescent="0.25">
      <c r="A16" s="3">
        <v>0.25</v>
      </c>
      <c r="B16" s="3">
        <v>0.66343808388767789</v>
      </c>
      <c r="C16" s="3">
        <f t="shared" si="0"/>
        <v>0.83171904194383894</v>
      </c>
      <c r="D16" s="3">
        <f t="shared" si="1"/>
        <v>0.91585952097191947</v>
      </c>
      <c r="F16" s="132">
        <v>6</v>
      </c>
      <c r="G16" s="22">
        <f t="shared" si="2"/>
        <v>1592.2514013304269</v>
      </c>
      <c r="I16" s="132">
        <v>6</v>
      </c>
      <c r="J16" s="23">
        <f t="shared" si="3"/>
        <v>19961.257006652133</v>
      </c>
      <c r="L16" s="132">
        <v>6</v>
      </c>
      <c r="M16" s="22">
        <f t="shared" si="4"/>
        <v>219806.28503326068</v>
      </c>
    </row>
    <row r="17" spans="1:13" x14ac:dyDescent="0.25">
      <c r="A17" s="3">
        <v>0.29166666699999999</v>
      </c>
      <c r="B17" s="3">
        <v>0.80489581033830182</v>
      </c>
      <c r="C17" s="3">
        <f t="shared" si="0"/>
        <v>0.90244790516915097</v>
      </c>
      <c r="D17" s="3">
        <f t="shared" si="1"/>
        <v>0.95122395258457548</v>
      </c>
      <c r="F17" s="132">
        <v>7</v>
      </c>
      <c r="G17" s="22">
        <f t="shared" si="2"/>
        <v>1931.7499448119245</v>
      </c>
      <c r="I17" s="132">
        <v>7</v>
      </c>
      <c r="J17" s="23">
        <f t="shared" si="3"/>
        <v>21658.749724059624</v>
      </c>
      <c r="L17" s="132">
        <v>7</v>
      </c>
      <c r="M17" s="22">
        <f t="shared" si="4"/>
        <v>228293.74862029811</v>
      </c>
    </row>
    <row r="18" spans="1:13" x14ac:dyDescent="0.25">
      <c r="A18" s="3">
        <v>0.33333333300000001</v>
      </c>
      <c r="B18" s="3">
        <v>0.97046447723580986</v>
      </c>
      <c r="C18" s="3">
        <f t="shared" si="0"/>
        <v>0.98523223861790488</v>
      </c>
      <c r="D18" s="3">
        <f t="shared" si="1"/>
        <v>0.99261611930895244</v>
      </c>
      <c r="F18" s="132">
        <v>8</v>
      </c>
      <c r="G18" s="22">
        <f t="shared" si="2"/>
        <v>2329.1147453659437</v>
      </c>
      <c r="I18" s="132">
        <v>8</v>
      </c>
      <c r="J18" s="23">
        <f t="shared" si="3"/>
        <v>23645.573726829716</v>
      </c>
      <c r="L18" s="132">
        <v>8</v>
      </c>
      <c r="M18" s="22">
        <f t="shared" si="4"/>
        <v>238227.86863414859</v>
      </c>
    </row>
    <row r="19" spans="1:13" x14ac:dyDescent="0.25">
      <c r="A19" s="3">
        <v>0.375</v>
      </c>
      <c r="B19" s="3">
        <v>1.129962743485216</v>
      </c>
      <c r="C19" s="3">
        <f t="shared" si="0"/>
        <v>1.064981371742608</v>
      </c>
      <c r="D19" s="3">
        <f t="shared" si="1"/>
        <v>1.0324906858713039</v>
      </c>
      <c r="F19" s="132">
        <v>9</v>
      </c>
      <c r="G19" s="22">
        <f t="shared" si="2"/>
        <v>2711.9105843645184</v>
      </c>
      <c r="I19" s="132">
        <v>9</v>
      </c>
      <c r="J19" s="23">
        <f t="shared" si="3"/>
        <v>25559.552921822593</v>
      </c>
      <c r="L19" s="132">
        <v>9</v>
      </c>
      <c r="M19" s="22">
        <f t="shared" si="4"/>
        <v>247797.76460911293</v>
      </c>
    </row>
    <row r="20" spans="1:13" x14ac:dyDescent="0.25">
      <c r="A20" s="3">
        <v>0.41666666699999999</v>
      </c>
      <c r="B20" s="3">
        <v>1.255788842063815</v>
      </c>
      <c r="C20" s="3">
        <f t="shared" si="0"/>
        <v>1.1278944210319075</v>
      </c>
      <c r="D20" s="3">
        <f t="shared" si="1"/>
        <v>1.0639472105159538</v>
      </c>
      <c r="F20" s="132">
        <v>10</v>
      </c>
      <c r="G20" s="22">
        <f t="shared" si="2"/>
        <v>3013.8932209531558</v>
      </c>
      <c r="I20" s="132">
        <v>10</v>
      </c>
      <c r="J20" s="23">
        <f t="shared" si="3"/>
        <v>27069.466104765779</v>
      </c>
      <c r="L20" s="132">
        <v>10</v>
      </c>
      <c r="M20" s="22">
        <f t="shared" si="4"/>
        <v>255347.33052382889</v>
      </c>
    </row>
    <row r="21" spans="1:13" x14ac:dyDescent="0.25">
      <c r="A21" s="3">
        <v>0.45833333300000001</v>
      </c>
      <c r="B21" s="3">
        <v>1.3292849806740759</v>
      </c>
      <c r="C21" s="3">
        <f t="shared" si="0"/>
        <v>1.1646424903370378</v>
      </c>
      <c r="D21" s="3">
        <f t="shared" si="1"/>
        <v>1.0823212451685189</v>
      </c>
      <c r="F21" s="132">
        <v>11</v>
      </c>
      <c r="G21" s="22">
        <f t="shared" si="2"/>
        <v>3190.2839536177821</v>
      </c>
      <c r="I21" s="132">
        <v>11</v>
      </c>
      <c r="J21" s="23">
        <f t="shared" si="3"/>
        <v>27951.419768088908</v>
      </c>
      <c r="L21" s="132">
        <v>11</v>
      </c>
      <c r="M21" s="22">
        <f t="shared" si="4"/>
        <v>259757.09884044455</v>
      </c>
    </row>
    <row r="22" spans="1:13" x14ac:dyDescent="0.25">
      <c r="A22" s="3">
        <v>0.5</v>
      </c>
      <c r="B22" s="3">
        <v>1.3447105581983232</v>
      </c>
      <c r="C22" s="3">
        <f t="shared" si="0"/>
        <v>1.1723552790991616</v>
      </c>
      <c r="D22" s="3">
        <f t="shared" si="1"/>
        <v>1.0861776395495808</v>
      </c>
      <c r="F22" s="132">
        <v>12</v>
      </c>
      <c r="G22" s="22">
        <f t="shared" si="2"/>
        <v>3227.3053396759756</v>
      </c>
      <c r="I22" s="132">
        <v>12</v>
      </c>
      <c r="J22" s="23">
        <f t="shared" si="3"/>
        <v>28136.526698379879</v>
      </c>
      <c r="L22" s="132">
        <v>12</v>
      </c>
      <c r="M22" s="22">
        <f t="shared" si="4"/>
        <v>260682.63349189938</v>
      </c>
    </row>
    <row r="23" spans="1:13" x14ac:dyDescent="0.25">
      <c r="A23" s="3">
        <v>0.54166666699999999</v>
      </c>
      <c r="B23" s="3">
        <v>1.309829505464472</v>
      </c>
      <c r="C23" s="3">
        <f t="shared" si="0"/>
        <v>1.1549147527322359</v>
      </c>
      <c r="D23" s="3">
        <f t="shared" si="1"/>
        <v>1.0774573763661179</v>
      </c>
      <c r="F23" s="132">
        <v>13</v>
      </c>
      <c r="G23" s="22">
        <f t="shared" si="2"/>
        <v>3143.5908131147326</v>
      </c>
      <c r="I23" s="132">
        <v>13</v>
      </c>
      <c r="J23" s="23">
        <f t="shared" si="3"/>
        <v>27717.95406557366</v>
      </c>
      <c r="L23" s="132">
        <v>13</v>
      </c>
      <c r="M23" s="22">
        <f t="shared" si="4"/>
        <v>258589.77032786832</v>
      </c>
    </row>
    <row r="24" spans="1:13" x14ac:dyDescent="0.25">
      <c r="A24" s="3">
        <v>0.58333333300000001</v>
      </c>
      <c r="B24" s="3">
        <v>1.2430191716043275</v>
      </c>
      <c r="C24" s="3">
        <f t="shared" si="0"/>
        <v>1.1215095858021638</v>
      </c>
      <c r="D24" s="3">
        <f t="shared" si="1"/>
        <v>1.0607547929010819</v>
      </c>
      <c r="F24" s="132">
        <v>14</v>
      </c>
      <c r="G24" s="22">
        <f t="shared" si="2"/>
        <v>2983.2460118503859</v>
      </c>
      <c r="I24" s="132">
        <v>14</v>
      </c>
      <c r="J24" s="23">
        <f t="shared" si="3"/>
        <v>26916.230059251931</v>
      </c>
      <c r="L24" s="132">
        <v>14</v>
      </c>
      <c r="M24" s="22">
        <f t="shared" si="4"/>
        <v>254581.15029625964</v>
      </c>
    </row>
    <row r="25" spans="1:13" x14ac:dyDescent="0.25">
      <c r="A25" s="3">
        <v>0.625</v>
      </c>
      <c r="B25" s="3">
        <v>1.1677306805222387</v>
      </c>
      <c r="C25" s="3">
        <f t="shared" si="0"/>
        <v>1.0838653402611194</v>
      </c>
      <c r="D25" s="3">
        <f t="shared" si="1"/>
        <v>1.0419326701305596</v>
      </c>
      <c r="F25" s="132">
        <v>15</v>
      </c>
      <c r="G25" s="22">
        <f t="shared" si="2"/>
        <v>2802.5536332533729</v>
      </c>
      <c r="I25" s="132">
        <v>15</v>
      </c>
      <c r="J25" s="23">
        <f t="shared" si="3"/>
        <v>26012.768166266866</v>
      </c>
      <c r="L25" s="132">
        <v>15</v>
      </c>
      <c r="M25" s="22">
        <f t="shared" si="4"/>
        <v>250063.8408313343</v>
      </c>
    </row>
    <row r="26" spans="1:13" x14ac:dyDescent="0.25">
      <c r="A26" s="3">
        <v>0.66666666699999999</v>
      </c>
      <c r="B26" s="3">
        <v>1.105827042226494</v>
      </c>
      <c r="C26" s="3">
        <f t="shared" si="0"/>
        <v>1.052913521113247</v>
      </c>
      <c r="D26" s="3">
        <f t="shared" si="1"/>
        <v>1.0264567605566235</v>
      </c>
      <c r="F26" s="132">
        <v>16</v>
      </c>
      <c r="G26" s="22">
        <f t="shared" si="2"/>
        <v>2653.9849013435855</v>
      </c>
      <c r="I26" s="132">
        <v>16</v>
      </c>
      <c r="J26" s="23">
        <f t="shared" si="3"/>
        <v>25269.924506717929</v>
      </c>
      <c r="L26" s="132">
        <v>16</v>
      </c>
      <c r="M26" s="22">
        <f t="shared" si="4"/>
        <v>246349.62253358963</v>
      </c>
    </row>
    <row r="27" spans="1:13" x14ac:dyDescent="0.25">
      <c r="A27" s="3">
        <v>0.70833333300000001</v>
      </c>
      <c r="B27" s="3">
        <v>1.0716098389832069</v>
      </c>
      <c r="C27" s="3">
        <f t="shared" si="0"/>
        <v>1.0358049194916035</v>
      </c>
      <c r="D27" s="3">
        <f t="shared" si="1"/>
        <v>1.0179024597458017</v>
      </c>
      <c r="F27" s="132">
        <v>17</v>
      </c>
      <c r="G27" s="22">
        <f t="shared" si="2"/>
        <v>2571.8636135596967</v>
      </c>
      <c r="I27" s="132">
        <v>17</v>
      </c>
      <c r="J27" s="23">
        <f t="shared" si="3"/>
        <v>24859.318067798482</v>
      </c>
      <c r="L27" s="132">
        <v>17</v>
      </c>
      <c r="M27" s="22">
        <f t="shared" si="4"/>
        <v>244296.59033899242</v>
      </c>
    </row>
    <row r="28" spans="1:13" x14ac:dyDescent="0.25">
      <c r="A28" s="3">
        <v>0.75</v>
      </c>
      <c r="B28" s="3">
        <v>1.0681428773763031</v>
      </c>
      <c r="C28" s="3">
        <f t="shared" si="0"/>
        <v>1.0340714386881515</v>
      </c>
      <c r="D28" s="3">
        <f t="shared" si="1"/>
        <v>1.0170357193440758</v>
      </c>
      <c r="F28" s="132">
        <v>18</v>
      </c>
      <c r="G28" s="22">
        <f t="shared" si="2"/>
        <v>2563.5429057031274</v>
      </c>
      <c r="I28" s="132">
        <v>18</v>
      </c>
      <c r="J28" s="23">
        <f t="shared" si="3"/>
        <v>24817.714528515637</v>
      </c>
      <c r="L28" s="132">
        <v>18</v>
      </c>
      <c r="M28" s="22">
        <f t="shared" si="4"/>
        <v>244088.57264257819</v>
      </c>
    </row>
    <row r="29" spans="1:13" x14ac:dyDescent="0.25">
      <c r="A29" s="3">
        <v>0.79166666699999999</v>
      </c>
      <c r="B29" s="3">
        <v>1.0868472666656483</v>
      </c>
      <c r="C29" s="3">
        <f t="shared" si="0"/>
        <v>1.0434236333328242</v>
      </c>
      <c r="D29" s="3">
        <f t="shared" si="1"/>
        <v>1.0217118166664121</v>
      </c>
      <c r="F29" s="132">
        <v>19</v>
      </c>
      <c r="G29" s="22">
        <f t="shared" si="2"/>
        <v>2608.433439997556</v>
      </c>
      <c r="I29" s="132">
        <v>19</v>
      </c>
      <c r="J29" s="23">
        <f t="shared" si="3"/>
        <v>25042.16719998778</v>
      </c>
      <c r="L29" s="132">
        <v>19</v>
      </c>
      <c r="M29" s="22">
        <f t="shared" si="4"/>
        <v>245210.83599993889</v>
      </c>
    </row>
    <row r="30" spans="1:13" x14ac:dyDescent="0.25">
      <c r="A30" s="3">
        <v>0.83333333300000001</v>
      </c>
      <c r="B30" s="3">
        <v>1.11044807059998</v>
      </c>
      <c r="C30" s="3">
        <f t="shared" si="0"/>
        <v>1.05522403529999</v>
      </c>
      <c r="D30" s="3">
        <f t="shared" si="1"/>
        <v>1.027612017649995</v>
      </c>
      <c r="F30" s="132">
        <v>20</v>
      </c>
      <c r="G30" s="22">
        <f t="shared" si="2"/>
        <v>2665.0753694399518</v>
      </c>
      <c r="I30" s="132">
        <v>20</v>
      </c>
      <c r="J30" s="23">
        <f t="shared" si="3"/>
        <v>25325.376847199761</v>
      </c>
      <c r="L30" s="132">
        <v>20</v>
      </c>
      <c r="M30" s="22">
        <f t="shared" si="4"/>
        <v>246626.88423599879</v>
      </c>
    </row>
    <row r="31" spans="1:13" x14ac:dyDescent="0.25">
      <c r="A31" s="3">
        <v>0.875</v>
      </c>
      <c r="B31" s="3">
        <v>1.1184388233322677</v>
      </c>
      <c r="C31" s="3">
        <f t="shared" si="0"/>
        <v>1.0592194116661338</v>
      </c>
      <c r="D31" s="3">
        <f t="shared" si="1"/>
        <v>1.0296097058330669</v>
      </c>
      <c r="F31" s="132">
        <v>21</v>
      </c>
      <c r="G31" s="22">
        <f t="shared" si="2"/>
        <v>2684.2531759974427</v>
      </c>
      <c r="I31" s="132">
        <v>21</v>
      </c>
      <c r="J31" s="23">
        <f t="shared" si="3"/>
        <v>25421.265879987212</v>
      </c>
      <c r="L31" s="132">
        <v>21</v>
      </c>
      <c r="M31" s="22">
        <f t="shared" si="4"/>
        <v>247106.32939993605</v>
      </c>
    </row>
    <row r="32" spans="1:13" x14ac:dyDescent="0.25">
      <c r="A32" s="3">
        <v>0.91666666699999999</v>
      </c>
      <c r="B32" s="3">
        <v>1.0935427445079926</v>
      </c>
      <c r="C32" s="3">
        <f t="shared" si="0"/>
        <v>1.0467713722539962</v>
      </c>
      <c r="D32" s="3">
        <f t="shared" si="1"/>
        <v>1.0233856861269981</v>
      </c>
      <c r="F32" s="132">
        <v>22</v>
      </c>
      <c r="G32" s="22">
        <f t="shared" si="2"/>
        <v>2624.5025868191824</v>
      </c>
      <c r="I32" s="132">
        <v>22</v>
      </c>
      <c r="J32" s="23">
        <f t="shared" si="3"/>
        <v>25122.51293409591</v>
      </c>
      <c r="L32" s="132">
        <v>22</v>
      </c>
      <c r="M32" s="22">
        <f t="shared" si="4"/>
        <v>245612.56467047954</v>
      </c>
    </row>
    <row r="33" spans="1:13" x14ac:dyDescent="0.25">
      <c r="A33" s="3">
        <v>0.95833333300000001</v>
      </c>
      <c r="B33" s="3">
        <v>1.0273735091394558</v>
      </c>
      <c r="C33" s="3">
        <f t="shared" si="0"/>
        <v>1.0136867545697279</v>
      </c>
      <c r="D33" s="3">
        <f t="shared" si="1"/>
        <v>1.0068433772848639</v>
      </c>
      <c r="F33" s="132">
        <v>23</v>
      </c>
      <c r="G33" s="22">
        <f t="shared" si="2"/>
        <v>2465.6964219346937</v>
      </c>
      <c r="I33" s="132">
        <v>23</v>
      </c>
      <c r="J33" s="23">
        <f t="shared" si="3"/>
        <v>24328.48210967347</v>
      </c>
      <c r="L33" s="132">
        <v>23</v>
      </c>
      <c r="M33" s="22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90"/>
  <sheetViews>
    <sheetView zoomScale="80" zoomScaleNormal="80" workbookViewId="0"/>
  </sheetViews>
  <sheetFormatPr defaultColWidth="9.140625" defaultRowHeight="15" x14ac:dyDescent="0.25"/>
  <cols>
    <col min="1" max="1" width="9" style="196"/>
    <col min="4" max="4" width="15.5703125" customWidth="1"/>
    <col min="18" max="18" width="13.5703125" customWidth="1"/>
  </cols>
  <sheetData>
    <row r="1" spans="1:21" s="196" customFormat="1" x14ac:dyDescent="0.25"/>
    <row r="2" spans="1:21" x14ac:dyDescent="0.25">
      <c r="A2" s="196" t="s">
        <v>314</v>
      </c>
      <c r="D2" t="s">
        <v>308</v>
      </c>
      <c r="E2" s="196" t="s">
        <v>303</v>
      </c>
      <c r="F2" s="196" t="s">
        <v>17</v>
      </c>
      <c r="G2" s="196" t="s">
        <v>41</v>
      </c>
      <c r="J2" s="271" t="s">
        <v>315</v>
      </c>
    </row>
    <row r="3" spans="1:21" x14ac:dyDescent="0.25">
      <c r="D3" s="262">
        <f>AVERAGE(D7:D30)</f>
        <v>24000</v>
      </c>
      <c r="E3" s="271">
        <v>420</v>
      </c>
      <c r="F3" s="271">
        <v>34.4</v>
      </c>
      <c r="G3" s="271">
        <v>4.3</v>
      </c>
      <c r="J3" s="270"/>
      <c r="R3" t="s">
        <v>316</v>
      </c>
    </row>
    <row r="5" spans="1:21" x14ac:dyDescent="0.25">
      <c r="C5" s="22" t="s">
        <v>34</v>
      </c>
      <c r="D5" s="22" t="s">
        <v>14</v>
      </c>
      <c r="E5" s="274" t="s">
        <v>303</v>
      </c>
      <c r="F5" s="274" t="s">
        <v>17</v>
      </c>
      <c r="G5" s="274" t="s">
        <v>41</v>
      </c>
      <c r="K5" t="s">
        <v>305</v>
      </c>
      <c r="L5" t="s">
        <v>306</v>
      </c>
      <c r="S5" t="s">
        <v>313</v>
      </c>
      <c r="T5" s="196" t="s">
        <v>305</v>
      </c>
      <c r="U5" s="196" t="s">
        <v>306</v>
      </c>
    </row>
    <row r="6" spans="1:21" x14ac:dyDescent="0.25">
      <c r="A6" s="196" t="s">
        <v>304</v>
      </c>
      <c r="C6" s="131" t="s">
        <v>174</v>
      </c>
      <c r="D6" s="131" t="s">
        <v>175</v>
      </c>
      <c r="E6" s="274" t="s">
        <v>68</v>
      </c>
      <c r="F6" s="274" t="s">
        <v>152</v>
      </c>
      <c r="G6" s="274" t="s">
        <v>153</v>
      </c>
      <c r="Q6">
        <v>0</v>
      </c>
      <c r="R6" s="263" t="s">
        <v>310</v>
      </c>
      <c r="S6" s="196">
        <f>Q6*24</f>
        <v>0</v>
      </c>
      <c r="T6" s="271">
        <v>1</v>
      </c>
      <c r="U6" s="271">
        <v>1</v>
      </c>
    </row>
    <row r="7" spans="1:21" x14ac:dyDescent="0.25">
      <c r="A7" s="196">
        <f>C7/24</f>
        <v>0</v>
      </c>
      <c r="C7" s="266">
        <v>0</v>
      </c>
      <c r="D7" s="267">
        <f>Data!$C$3*'Diurnal flow'!C10*K7</f>
        <v>23084.501766452362</v>
      </c>
      <c r="E7" s="263">
        <f>E$3*$L7</f>
        <v>420</v>
      </c>
      <c r="F7" s="263">
        <f>F$3*$L7</f>
        <v>34.4</v>
      </c>
      <c r="G7" s="263">
        <f>G$3*$L7</f>
        <v>4.3</v>
      </c>
      <c r="K7">
        <f>$T$6</f>
        <v>1</v>
      </c>
      <c r="L7" s="196">
        <f>$U$6</f>
        <v>1</v>
      </c>
      <c r="N7" t="s">
        <v>309</v>
      </c>
      <c r="Q7">
        <v>1</v>
      </c>
      <c r="R7" s="263" t="s">
        <v>310</v>
      </c>
      <c r="S7">
        <f>Q7*24</f>
        <v>24</v>
      </c>
      <c r="T7" s="271"/>
      <c r="U7" s="271"/>
    </row>
    <row r="8" spans="1:21" x14ac:dyDescent="0.25">
      <c r="A8" s="196">
        <f t="shared" ref="A8:A71" si="0">C8/24</f>
        <v>4.1666666666666664E-2</v>
      </c>
      <c r="C8" s="266">
        <v>1</v>
      </c>
      <c r="D8" s="267">
        <f>Data!$C$3*'Diurnal flow'!C11*K8</f>
        <v>21581.12901037894</v>
      </c>
      <c r="E8" s="263">
        <f t="shared" ref="E8:G49" si="1">E$3*$L8</f>
        <v>420</v>
      </c>
      <c r="F8" s="263">
        <f t="shared" si="1"/>
        <v>34.4</v>
      </c>
      <c r="G8" s="263">
        <f t="shared" si="1"/>
        <v>4.3</v>
      </c>
      <c r="K8" s="196">
        <f t="shared" ref="K8:K71" si="2">$T$6</f>
        <v>1</v>
      </c>
      <c r="L8" s="196">
        <f t="shared" ref="L8:L71" si="3">$U$6</f>
        <v>1</v>
      </c>
      <c r="Q8">
        <v>2</v>
      </c>
      <c r="R8" s="263" t="s">
        <v>310</v>
      </c>
      <c r="S8" s="196">
        <f t="shared" ref="S8:S23" si="4">Q8*24</f>
        <v>48</v>
      </c>
      <c r="T8" s="271"/>
      <c r="U8" s="271"/>
    </row>
    <row r="9" spans="1:21" x14ac:dyDescent="0.25">
      <c r="A9" s="196">
        <f t="shared" si="0"/>
        <v>8.3333333333333329E-2</v>
      </c>
      <c r="C9" s="266">
        <v>2</v>
      </c>
      <c r="D9" s="267">
        <f>Data!$C$3*'Diurnal flow'!C12*K9</f>
        <v>20112.819366718602</v>
      </c>
      <c r="E9" s="263">
        <f t="shared" si="1"/>
        <v>420</v>
      </c>
      <c r="F9" s="263">
        <f t="shared" si="1"/>
        <v>34.4</v>
      </c>
      <c r="G9" s="263">
        <f t="shared" si="1"/>
        <v>4.3</v>
      </c>
      <c r="K9" s="196">
        <f t="shared" si="2"/>
        <v>1</v>
      </c>
      <c r="L9" s="196">
        <f t="shared" si="3"/>
        <v>1</v>
      </c>
      <c r="Q9">
        <v>3</v>
      </c>
      <c r="R9" s="264" t="s">
        <v>307</v>
      </c>
      <c r="S9" s="196">
        <f t="shared" si="4"/>
        <v>72</v>
      </c>
      <c r="T9" s="271">
        <v>2</v>
      </c>
      <c r="U9" s="271">
        <v>0.8</v>
      </c>
    </row>
    <row r="10" spans="1:21" x14ac:dyDescent="0.25">
      <c r="A10" s="196">
        <f t="shared" si="0"/>
        <v>0.125</v>
      </c>
      <c r="C10" s="266">
        <v>3</v>
      </c>
      <c r="D10" s="267">
        <f>Data!$C$3*'Diurnal flow'!C13*K10</f>
        <v>19006.413031923323</v>
      </c>
      <c r="E10" s="263">
        <f t="shared" si="1"/>
        <v>420</v>
      </c>
      <c r="F10" s="263">
        <f t="shared" si="1"/>
        <v>34.4</v>
      </c>
      <c r="G10" s="263">
        <f t="shared" si="1"/>
        <v>4.3</v>
      </c>
      <c r="K10" s="196">
        <f t="shared" si="2"/>
        <v>1</v>
      </c>
      <c r="L10" s="196">
        <f t="shared" si="3"/>
        <v>1</v>
      </c>
      <c r="Q10">
        <v>4</v>
      </c>
      <c r="R10" s="264" t="s">
        <v>307</v>
      </c>
      <c r="S10" s="196">
        <f t="shared" si="4"/>
        <v>96</v>
      </c>
      <c r="T10" s="271"/>
      <c r="U10" s="271"/>
    </row>
    <row r="11" spans="1:21" x14ac:dyDescent="0.25">
      <c r="A11" s="196">
        <f t="shared" si="0"/>
        <v>0.16666666666666666</v>
      </c>
      <c r="C11" s="266">
        <v>4</v>
      </c>
      <c r="D11" s="267">
        <f>Data!$C$3*'Diurnal flow'!C14*K11</f>
        <v>18538.096454420363</v>
      </c>
      <c r="E11" s="263">
        <f t="shared" si="1"/>
        <v>420</v>
      </c>
      <c r="F11" s="263">
        <f t="shared" si="1"/>
        <v>34.4</v>
      </c>
      <c r="G11" s="263">
        <f t="shared" si="1"/>
        <v>4.3</v>
      </c>
      <c r="K11" s="196">
        <f t="shared" si="2"/>
        <v>1</v>
      </c>
      <c r="L11" s="196">
        <f t="shared" si="3"/>
        <v>1</v>
      </c>
      <c r="Q11">
        <v>5</v>
      </c>
      <c r="R11" s="264" t="s">
        <v>307</v>
      </c>
      <c r="S11" s="196">
        <f t="shared" si="4"/>
        <v>120</v>
      </c>
      <c r="T11" s="271"/>
      <c r="U11" s="271"/>
    </row>
    <row r="12" spans="1:21" x14ac:dyDescent="0.25">
      <c r="A12" s="196">
        <f t="shared" si="0"/>
        <v>0.20833333333333334</v>
      </c>
      <c r="C12" s="266">
        <v>5</v>
      </c>
      <c r="D12" s="267">
        <f>Data!$C$3*'Diurnal flow'!C15*K12</f>
        <v>18860.78005443911</v>
      </c>
      <c r="E12" s="263">
        <f t="shared" si="1"/>
        <v>420</v>
      </c>
      <c r="F12" s="263">
        <f t="shared" si="1"/>
        <v>34.4</v>
      </c>
      <c r="G12" s="263">
        <f t="shared" si="1"/>
        <v>4.3</v>
      </c>
      <c r="K12" s="196">
        <f t="shared" si="2"/>
        <v>1</v>
      </c>
      <c r="L12" s="196">
        <f t="shared" si="3"/>
        <v>1</v>
      </c>
      <c r="Q12">
        <v>6</v>
      </c>
      <c r="R12" s="264" t="s">
        <v>307</v>
      </c>
      <c r="S12" s="196">
        <f t="shared" si="4"/>
        <v>144</v>
      </c>
      <c r="T12" s="271"/>
      <c r="U12" s="271"/>
    </row>
    <row r="13" spans="1:21" x14ac:dyDescent="0.25">
      <c r="A13" s="196">
        <f t="shared" si="0"/>
        <v>0.25</v>
      </c>
      <c r="C13" s="266">
        <v>6</v>
      </c>
      <c r="D13" s="267">
        <f>Data!$C$3*'Diurnal flow'!C16*K13</f>
        <v>19961.257006652133</v>
      </c>
      <c r="E13" s="263">
        <f t="shared" si="1"/>
        <v>420</v>
      </c>
      <c r="F13" s="263">
        <f t="shared" si="1"/>
        <v>34.4</v>
      </c>
      <c r="G13" s="263">
        <f t="shared" si="1"/>
        <v>4.3</v>
      </c>
      <c r="K13" s="196">
        <f t="shared" si="2"/>
        <v>1</v>
      </c>
      <c r="L13" s="196">
        <f t="shared" si="3"/>
        <v>1</v>
      </c>
      <c r="Q13">
        <v>7</v>
      </c>
      <c r="R13" s="264" t="s">
        <v>307</v>
      </c>
      <c r="S13" s="196">
        <f t="shared" si="4"/>
        <v>168</v>
      </c>
      <c r="T13" s="271"/>
      <c r="U13" s="271"/>
    </row>
    <row r="14" spans="1:21" x14ac:dyDescent="0.25">
      <c r="A14" s="196">
        <f t="shared" si="0"/>
        <v>0.29166666666666669</v>
      </c>
      <c r="C14" s="266">
        <v>7</v>
      </c>
      <c r="D14" s="267">
        <f>Data!$C$3*'Diurnal flow'!C17*K14</f>
        <v>21658.749724059624</v>
      </c>
      <c r="E14" s="263">
        <f t="shared" si="1"/>
        <v>420</v>
      </c>
      <c r="F14" s="263">
        <f t="shared" si="1"/>
        <v>34.4</v>
      </c>
      <c r="G14" s="263">
        <f t="shared" si="1"/>
        <v>4.3</v>
      </c>
      <c r="K14" s="196">
        <f t="shared" si="2"/>
        <v>1</v>
      </c>
      <c r="L14" s="196">
        <f t="shared" si="3"/>
        <v>1</v>
      </c>
      <c r="Q14">
        <v>8</v>
      </c>
      <c r="R14" s="265" t="s">
        <v>311</v>
      </c>
      <c r="S14" s="196">
        <f t="shared" si="4"/>
        <v>192</v>
      </c>
      <c r="T14" s="271">
        <v>4</v>
      </c>
      <c r="U14" s="271">
        <v>0.5</v>
      </c>
    </row>
    <row r="15" spans="1:21" x14ac:dyDescent="0.25">
      <c r="A15" s="196">
        <f t="shared" si="0"/>
        <v>0.33333333333333331</v>
      </c>
      <c r="C15" s="266">
        <v>8</v>
      </c>
      <c r="D15" s="267">
        <f>Data!$C$3*'Diurnal flow'!C18*K15</f>
        <v>23645.573726829716</v>
      </c>
      <c r="E15" s="263">
        <f t="shared" si="1"/>
        <v>420</v>
      </c>
      <c r="F15" s="263">
        <f t="shared" si="1"/>
        <v>34.4</v>
      </c>
      <c r="G15" s="263">
        <f t="shared" si="1"/>
        <v>4.3</v>
      </c>
      <c r="K15" s="196">
        <f t="shared" si="2"/>
        <v>1</v>
      </c>
      <c r="L15" s="196">
        <f t="shared" si="3"/>
        <v>1</v>
      </c>
      <c r="Q15">
        <v>9</v>
      </c>
      <c r="R15" s="264" t="s">
        <v>307</v>
      </c>
      <c r="S15" s="196">
        <f t="shared" si="4"/>
        <v>216</v>
      </c>
      <c r="T15" s="271">
        <v>2</v>
      </c>
      <c r="U15" s="271">
        <v>0.8</v>
      </c>
    </row>
    <row r="16" spans="1:21" x14ac:dyDescent="0.25">
      <c r="A16" s="196">
        <f t="shared" si="0"/>
        <v>0.375</v>
      </c>
      <c r="C16" s="266">
        <v>9</v>
      </c>
      <c r="D16" s="267">
        <f>Data!$C$3*'Diurnal flow'!C19*K16</f>
        <v>25559.552921822593</v>
      </c>
      <c r="E16" s="263">
        <f t="shared" si="1"/>
        <v>420</v>
      </c>
      <c r="F16" s="263">
        <f t="shared" si="1"/>
        <v>34.4</v>
      </c>
      <c r="G16" s="263">
        <f t="shared" si="1"/>
        <v>4.3</v>
      </c>
      <c r="K16" s="196">
        <f t="shared" si="2"/>
        <v>1</v>
      </c>
      <c r="L16" s="196">
        <f t="shared" si="3"/>
        <v>1</v>
      </c>
      <c r="Q16">
        <v>10</v>
      </c>
      <c r="R16" s="264" t="s">
        <v>307</v>
      </c>
      <c r="S16" s="196">
        <f t="shared" si="4"/>
        <v>240</v>
      </c>
      <c r="T16" s="271"/>
      <c r="U16" s="271"/>
    </row>
    <row r="17" spans="1:21" x14ac:dyDescent="0.25">
      <c r="A17" s="196">
        <f t="shared" si="0"/>
        <v>0.41666666666666669</v>
      </c>
      <c r="C17" s="266">
        <v>10</v>
      </c>
      <c r="D17" s="267">
        <f>Data!$C$3*'Diurnal flow'!C20*K17</f>
        <v>27069.466104765779</v>
      </c>
      <c r="E17" s="263">
        <f t="shared" si="1"/>
        <v>420</v>
      </c>
      <c r="F17" s="263">
        <f t="shared" si="1"/>
        <v>34.4</v>
      </c>
      <c r="G17" s="263">
        <f t="shared" si="1"/>
        <v>4.3</v>
      </c>
      <c r="K17" s="196">
        <f t="shared" si="2"/>
        <v>1</v>
      </c>
      <c r="L17" s="196">
        <f t="shared" si="3"/>
        <v>1</v>
      </c>
      <c r="Q17" s="196">
        <v>11</v>
      </c>
      <c r="R17" s="264" t="s">
        <v>307</v>
      </c>
      <c r="S17" s="196">
        <f t="shared" si="4"/>
        <v>264</v>
      </c>
      <c r="T17" s="271"/>
      <c r="U17" s="271"/>
    </row>
    <row r="18" spans="1:21" x14ac:dyDescent="0.25">
      <c r="A18" s="196">
        <f t="shared" si="0"/>
        <v>0.45833333333333331</v>
      </c>
      <c r="C18" s="266">
        <v>11</v>
      </c>
      <c r="D18" s="267">
        <f>Data!$C$3*'Diurnal flow'!C21*K18</f>
        <v>27951.419768088908</v>
      </c>
      <c r="E18" s="263">
        <f t="shared" si="1"/>
        <v>420</v>
      </c>
      <c r="F18" s="263">
        <f t="shared" si="1"/>
        <v>34.4</v>
      </c>
      <c r="G18" s="263">
        <f t="shared" si="1"/>
        <v>4.3</v>
      </c>
      <c r="K18" s="196">
        <f t="shared" si="2"/>
        <v>1</v>
      </c>
      <c r="L18" s="196">
        <f t="shared" si="3"/>
        <v>1</v>
      </c>
      <c r="Q18" s="196">
        <v>12</v>
      </c>
      <c r="R18" s="264" t="s">
        <v>307</v>
      </c>
      <c r="S18" s="196">
        <f t="shared" si="4"/>
        <v>288</v>
      </c>
      <c r="T18" s="271"/>
      <c r="U18" s="271"/>
    </row>
    <row r="19" spans="1:21" x14ac:dyDescent="0.25">
      <c r="A19" s="196">
        <f t="shared" si="0"/>
        <v>0.5</v>
      </c>
      <c r="C19" s="266">
        <v>12</v>
      </c>
      <c r="D19" s="267">
        <f>Data!$C$3*'Diurnal flow'!C22*K19</f>
        <v>28136.526698379879</v>
      </c>
      <c r="E19" s="263">
        <f t="shared" si="1"/>
        <v>420</v>
      </c>
      <c r="F19" s="263">
        <f t="shared" si="1"/>
        <v>34.4</v>
      </c>
      <c r="G19" s="263">
        <f t="shared" si="1"/>
        <v>4.3</v>
      </c>
      <c r="K19" s="196">
        <f t="shared" si="2"/>
        <v>1</v>
      </c>
      <c r="L19" s="196">
        <f t="shared" si="3"/>
        <v>1</v>
      </c>
      <c r="Q19" s="196">
        <v>13</v>
      </c>
      <c r="R19" s="264" t="s">
        <v>307</v>
      </c>
      <c r="S19" s="196">
        <f t="shared" si="4"/>
        <v>312</v>
      </c>
      <c r="T19" s="271"/>
      <c r="U19" s="271"/>
    </row>
    <row r="20" spans="1:21" x14ac:dyDescent="0.25">
      <c r="A20" s="196">
        <f t="shared" si="0"/>
        <v>0.54166666666666663</v>
      </c>
      <c r="C20" s="266">
        <v>13</v>
      </c>
      <c r="D20" s="267">
        <f>Data!$C$3*'Diurnal flow'!C23*K20</f>
        <v>27717.95406557366</v>
      </c>
      <c r="E20" s="263">
        <f t="shared" si="1"/>
        <v>420</v>
      </c>
      <c r="F20" s="263">
        <f t="shared" si="1"/>
        <v>34.4</v>
      </c>
      <c r="G20" s="263">
        <f t="shared" si="1"/>
        <v>4.3</v>
      </c>
      <c r="K20" s="196">
        <f t="shared" si="2"/>
        <v>1</v>
      </c>
      <c r="L20" s="196">
        <f t="shared" si="3"/>
        <v>1</v>
      </c>
      <c r="Q20" s="196">
        <v>14</v>
      </c>
      <c r="R20" s="263" t="s">
        <v>310</v>
      </c>
      <c r="S20" s="196">
        <f t="shared" si="4"/>
        <v>336</v>
      </c>
      <c r="T20" s="271">
        <v>1</v>
      </c>
      <c r="U20" s="271">
        <v>1</v>
      </c>
    </row>
    <row r="21" spans="1:21" x14ac:dyDescent="0.25">
      <c r="A21" s="196">
        <f t="shared" si="0"/>
        <v>0.58333333333333337</v>
      </c>
      <c r="C21" s="266">
        <v>14</v>
      </c>
      <c r="D21" s="267">
        <f>Data!$C$3*'Diurnal flow'!C24*K21</f>
        <v>26916.230059251931</v>
      </c>
      <c r="E21" s="263">
        <f t="shared" si="1"/>
        <v>420</v>
      </c>
      <c r="F21" s="263">
        <f t="shared" si="1"/>
        <v>34.4</v>
      </c>
      <c r="G21" s="263">
        <f t="shared" si="1"/>
        <v>4.3</v>
      </c>
      <c r="K21" s="196">
        <f t="shared" si="2"/>
        <v>1</v>
      </c>
      <c r="L21" s="196">
        <f t="shared" si="3"/>
        <v>1</v>
      </c>
      <c r="Q21" s="196">
        <v>15</v>
      </c>
      <c r="R21" s="263" t="s">
        <v>310</v>
      </c>
      <c r="S21" s="196">
        <f t="shared" si="4"/>
        <v>360</v>
      </c>
    </row>
    <row r="22" spans="1:21" x14ac:dyDescent="0.25">
      <c r="A22" s="196">
        <f t="shared" si="0"/>
        <v>0.625</v>
      </c>
      <c r="C22" s="266">
        <v>15</v>
      </c>
      <c r="D22" s="267">
        <f>Data!$C$3*'Diurnal flow'!C25*K22</f>
        <v>26012.768166266866</v>
      </c>
      <c r="E22" s="263">
        <f t="shared" si="1"/>
        <v>420</v>
      </c>
      <c r="F22" s="263">
        <f t="shared" si="1"/>
        <v>34.4</v>
      </c>
      <c r="G22" s="263">
        <f t="shared" si="1"/>
        <v>4.3</v>
      </c>
      <c r="K22" s="196">
        <f t="shared" si="2"/>
        <v>1</v>
      </c>
      <c r="L22" s="196">
        <f t="shared" si="3"/>
        <v>1</v>
      </c>
      <c r="Q22" s="196">
        <v>16</v>
      </c>
      <c r="R22" s="263" t="s">
        <v>310</v>
      </c>
      <c r="S22" s="196">
        <f t="shared" si="4"/>
        <v>384</v>
      </c>
    </row>
    <row r="23" spans="1:21" x14ac:dyDescent="0.25">
      <c r="A23" s="196">
        <f t="shared" si="0"/>
        <v>0.66666666666666663</v>
      </c>
      <c r="C23" s="266">
        <v>16</v>
      </c>
      <c r="D23" s="267">
        <f>Data!$C$3*'Diurnal flow'!C26*K23</f>
        <v>25269.924506717929</v>
      </c>
      <c r="E23" s="263">
        <f t="shared" si="1"/>
        <v>420</v>
      </c>
      <c r="F23" s="263">
        <f t="shared" si="1"/>
        <v>34.4</v>
      </c>
      <c r="G23" s="263">
        <f t="shared" si="1"/>
        <v>4.3</v>
      </c>
      <c r="K23" s="196">
        <f t="shared" si="2"/>
        <v>1</v>
      </c>
      <c r="L23" s="196">
        <f t="shared" si="3"/>
        <v>1</v>
      </c>
      <c r="Q23" s="196">
        <v>17</v>
      </c>
      <c r="R23" t="s">
        <v>312</v>
      </c>
      <c r="S23" s="196">
        <f t="shared" si="4"/>
        <v>408</v>
      </c>
    </row>
    <row r="24" spans="1:21" x14ac:dyDescent="0.25">
      <c r="A24" s="196">
        <f t="shared" si="0"/>
        <v>0.70833333333333337</v>
      </c>
      <c r="C24" s="266">
        <v>17</v>
      </c>
      <c r="D24" s="267">
        <f>Data!$C$3*'Diurnal flow'!C27*K24</f>
        <v>24859.318067798482</v>
      </c>
      <c r="E24" s="263">
        <f t="shared" si="1"/>
        <v>420</v>
      </c>
      <c r="F24" s="263">
        <f t="shared" si="1"/>
        <v>34.4</v>
      </c>
      <c r="G24" s="263">
        <f t="shared" si="1"/>
        <v>4.3</v>
      </c>
      <c r="K24" s="196">
        <f t="shared" si="2"/>
        <v>1</v>
      </c>
      <c r="L24" s="196">
        <f t="shared" si="3"/>
        <v>1</v>
      </c>
    </row>
    <row r="25" spans="1:21" x14ac:dyDescent="0.25">
      <c r="A25" s="196">
        <f t="shared" si="0"/>
        <v>0.75</v>
      </c>
      <c r="C25" s="266">
        <v>18</v>
      </c>
      <c r="D25" s="267">
        <f>Data!$C$3*'Diurnal flow'!C28*K25</f>
        <v>24817.714528515637</v>
      </c>
      <c r="E25" s="263">
        <f t="shared" si="1"/>
        <v>420</v>
      </c>
      <c r="F25" s="263">
        <f t="shared" si="1"/>
        <v>34.4</v>
      </c>
      <c r="G25" s="263">
        <f t="shared" si="1"/>
        <v>4.3</v>
      </c>
      <c r="K25" s="196">
        <f t="shared" si="2"/>
        <v>1</v>
      </c>
      <c r="L25" s="196">
        <f t="shared" si="3"/>
        <v>1</v>
      </c>
    </row>
    <row r="26" spans="1:21" x14ac:dyDescent="0.25">
      <c r="A26" s="196">
        <f t="shared" si="0"/>
        <v>0.79166666666666663</v>
      </c>
      <c r="C26" s="266">
        <v>19</v>
      </c>
      <c r="D26" s="267">
        <f>Data!$C$3*'Diurnal flow'!C29*K26</f>
        <v>25042.16719998778</v>
      </c>
      <c r="E26" s="263">
        <f t="shared" si="1"/>
        <v>420</v>
      </c>
      <c r="F26" s="263">
        <f t="shared" si="1"/>
        <v>34.4</v>
      </c>
      <c r="G26" s="263">
        <f t="shared" si="1"/>
        <v>4.3</v>
      </c>
      <c r="K26" s="196">
        <f t="shared" si="2"/>
        <v>1</v>
      </c>
      <c r="L26" s="196">
        <f t="shared" si="3"/>
        <v>1</v>
      </c>
    </row>
    <row r="27" spans="1:21" x14ac:dyDescent="0.25">
      <c r="A27" s="196">
        <f t="shared" si="0"/>
        <v>0.83333333333333337</v>
      </c>
      <c r="C27" s="266">
        <v>20</v>
      </c>
      <c r="D27" s="267">
        <f>Data!$C$3*'Diurnal flow'!C30*K27</f>
        <v>25325.376847199761</v>
      </c>
      <c r="E27" s="263">
        <f t="shared" si="1"/>
        <v>420</v>
      </c>
      <c r="F27" s="263">
        <f t="shared" si="1"/>
        <v>34.4</v>
      </c>
      <c r="G27" s="263">
        <f t="shared" si="1"/>
        <v>4.3</v>
      </c>
      <c r="K27" s="196">
        <f t="shared" si="2"/>
        <v>1</v>
      </c>
      <c r="L27" s="196">
        <f t="shared" si="3"/>
        <v>1</v>
      </c>
    </row>
    <row r="28" spans="1:21" x14ac:dyDescent="0.25">
      <c r="A28" s="196">
        <f t="shared" si="0"/>
        <v>0.875</v>
      </c>
      <c r="C28" s="266">
        <v>21</v>
      </c>
      <c r="D28" s="267">
        <f>Data!$C$3*'Diurnal flow'!C31*K28</f>
        <v>25421.265879987212</v>
      </c>
      <c r="E28" s="263">
        <f t="shared" si="1"/>
        <v>420</v>
      </c>
      <c r="F28" s="263">
        <f t="shared" si="1"/>
        <v>34.4</v>
      </c>
      <c r="G28" s="263">
        <f t="shared" si="1"/>
        <v>4.3</v>
      </c>
      <c r="K28" s="196">
        <f t="shared" si="2"/>
        <v>1</v>
      </c>
      <c r="L28" s="196">
        <f t="shared" si="3"/>
        <v>1</v>
      </c>
    </row>
    <row r="29" spans="1:21" x14ac:dyDescent="0.25">
      <c r="A29" s="196">
        <f t="shared" si="0"/>
        <v>0.91666666666666663</v>
      </c>
      <c r="C29" s="266">
        <v>22</v>
      </c>
      <c r="D29" s="267">
        <f>Data!$C$3*'Diurnal flow'!C32*K29</f>
        <v>25122.51293409591</v>
      </c>
      <c r="E29" s="263">
        <f t="shared" si="1"/>
        <v>420</v>
      </c>
      <c r="F29" s="263">
        <f t="shared" si="1"/>
        <v>34.4</v>
      </c>
      <c r="G29" s="263">
        <f t="shared" si="1"/>
        <v>4.3</v>
      </c>
      <c r="K29" s="196">
        <f t="shared" si="2"/>
        <v>1</v>
      </c>
      <c r="L29" s="196">
        <f t="shared" si="3"/>
        <v>1</v>
      </c>
    </row>
    <row r="30" spans="1:21" x14ac:dyDescent="0.25">
      <c r="A30" s="196">
        <f t="shared" si="0"/>
        <v>0.95833333333333337</v>
      </c>
      <c r="C30" s="266">
        <v>23</v>
      </c>
      <c r="D30" s="267">
        <f>Data!$C$3*'Diurnal flow'!C33*K30</f>
        <v>24328.48210967347</v>
      </c>
      <c r="E30" s="263">
        <f t="shared" si="1"/>
        <v>420</v>
      </c>
      <c r="F30" s="263">
        <f t="shared" si="1"/>
        <v>34.4</v>
      </c>
      <c r="G30" s="263">
        <f t="shared" si="1"/>
        <v>4.3</v>
      </c>
      <c r="K30" s="196">
        <f t="shared" si="2"/>
        <v>1</v>
      </c>
      <c r="L30" s="196">
        <f t="shared" si="3"/>
        <v>1</v>
      </c>
    </row>
    <row r="31" spans="1:21" x14ac:dyDescent="0.25">
      <c r="A31" s="196">
        <f t="shared" si="0"/>
        <v>1</v>
      </c>
      <c r="C31" s="266">
        <v>24</v>
      </c>
      <c r="D31" s="267">
        <f>D7*K31</f>
        <v>23084.501766452362</v>
      </c>
      <c r="E31" s="263">
        <f t="shared" si="1"/>
        <v>420</v>
      </c>
      <c r="F31" s="263">
        <f t="shared" si="1"/>
        <v>34.4</v>
      </c>
      <c r="G31" s="263">
        <f t="shared" si="1"/>
        <v>4.3</v>
      </c>
      <c r="K31" s="196">
        <f t="shared" si="2"/>
        <v>1</v>
      </c>
      <c r="L31" s="196">
        <f t="shared" si="3"/>
        <v>1</v>
      </c>
    </row>
    <row r="32" spans="1:21" x14ac:dyDescent="0.25">
      <c r="A32" s="196">
        <f t="shared" si="0"/>
        <v>1.0416666666666667</v>
      </c>
      <c r="C32" s="266">
        <v>25</v>
      </c>
      <c r="D32" s="267">
        <f t="shared" ref="D32:D95" si="5">D8*K32</f>
        <v>21581.12901037894</v>
      </c>
      <c r="E32" s="263">
        <f t="shared" si="1"/>
        <v>420</v>
      </c>
      <c r="F32" s="263">
        <f t="shared" si="1"/>
        <v>34.4</v>
      </c>
      <c r="G32" s="263">
        <f t="shared" si="1"/>
        <v>4.3</v>
      </c>
      <c r="K32" s="196">
        <f t="shared" si="2"/>
        <v>1</v>
      </c>
      <c r="L32" s="196">
        <f t="shared" si="3"/>
        <v>1</v>
      </c>
    </row>
    <row r="33" spans="1:12" x14ac:dyDescent="0.25">
      <c r="A33" s="196">
        <f t="shared" si="0"/>
        <v>1.0833333333333333</v>
      </c>
      <c r="C33" s="266">
        <v>26</v>
      </c>
      <c r="D33" s="267">
        <f t="shared" si="5"/>
        <v>20112.819366718602</v>
      </c>
      <c r="E33" s="263">
        <f t="shared" si="1"/>
        <v>420</v>
      </c>
      <c r="F33" s="263">
        <f t="shared" si="1"/>
        <v>34.4</v>
      </c>
      <c r="G33" s="263">
        <f t="shared" si="1"/>
        <v>4.3</v>
      </c>
      <c r="K33" s="196">
        <f t="shared" si="2"/>
        <v>1</v>
      </c>
      <c r="L33" s="196">
        <f t="shared" si="3"/>
        <v>1</v>
      </c>
    </row>
    <row r="34" spans="1:12" x14ac:dyDescent="0.25">
      <c r="A34" s="196">
        <f t="shared" si="0"/>
        <v>1.125</v>
      </c>
      <c r="C34" s="266">
        <v>27</v>
      </c>
      <c r="D34" s="267">
        <f t="shared" si="5"/>
        <v>19006.413031923323</v>
      </c>
      <c r="E34" s="263">
        <f t="shared" si="1"/>
        <v>420</v>
      </c>
      <c r="F34" s="263">
        <f t="shared" si="1"/>
        <v>34.4</v>
      </c>
      <c r="G34" s="263">
        <f t="shared" si="1"/>
        <v>4.3</v>
      </c>
      <c r="K34" s="196">
        <f t="shared" si="2"/>
        <v>1</v>
      </c>
      <c r="L34" s="196">
        <f t="shared" si="3"/>
        <v>1</v>
      </c>
    </row>
    <row r="35" spans="1:12" x14ac:dyDescent="0.25">
      <c r="A35" s="196">
        <f t="shared" si="0"/>
        <v>1.1666666666666667</v>
      </c>
      <c r="C35" s="266">
        <v>28</v>
      </c>
      <c r="D35" s="267">
        <f t="shared" si="5"/>
        <v>18538.096454420363</v>
      </c>
      <c r="E35" s="263">
        <f t="shared" si="1"/>
        <v>420</v>
      </c>
      <c r="F35" s="263">
        <f t="shared" si="1"/>
        <v>34.4</v>
      </c>
      <c r="G35" s="263">
        <f t="shared" si="1"/>
        <v>4.3</v>
      </c>
      <c r="K35" s="196">
        <f t="shared" si="2"/>
        <v>1</v>
      </c>
      <c r="L35" s="196">
        <f t="shared" si="3"/>
        <v>1</v>
      </c>
    </row>
    <row r="36" spans="1:12" x14ac:dyDescent="0.25">
      <c r="A36" s="196">
        <f t="shared" si="0"/>
        <v>1.2083333333333333</v>
      </c>
      <c r="C36" s="266">
        <v>29</v>
      </c>
      <c r="D36" s="267">
        <f t="shared" si="5"/>
        <v>18860.78005443911</v>
      </c>
      <c r="E36" s="263">
        <f t="shared" si="1"/>
        <v>420</v>
      </c>
      <c r="F36" s="263">
        <f t="shared" si="1"/>
        <v>34.4</v>
      </c>
      <c r="G36" s="263">
        <f t="shared" si="1"/>
        <v>4.3</v>
      </c>
      <c r="K36" s="196">
        <f t="shared" si="2"/>
        <v>1</v>
      </c>
      <c r="L36" s="196">
        <f t="shared" si="3"/>
        <v>1</v>
      </c>
    </row>
    <row r="37" spans="1:12" x14ac:dyDescent="0.25">
      <c r="A37" s="196">
        <f t="shared" si="0"/>
        <v>1.25</v>
      </c>
      <c r="C37" s="266">
        <v>30</v>
      </c>
      <c r="D37" s="267">
        <f t="shared" si="5"/>
        <v>19961.257006652133</v>
      </c>
      <c r="E37" s="263">
        <f t="shared" si="1"/>
        <v>420</v>
      </c>
      <c r="F37" s="263">
        <f t="shared" si="1"/>
        <v>34.4</v>
      </c>
      <c r="G37" s="263">
        <f t="shared" si="1"/>
        <v>4.3</v>
      </c>
      <c r="K37" s="196">
        <f t="shared" si="2"/>
        <v>1</v>
      </c>
      <c r="L37" s="196">
        <f t="shared" si="3"/>
        <v>1</v>
      </c>
    </row>
    <row r="38" spans="1:12" x14ac:dyDescent="0.25">
      <c r="A38" s="196">
        <f t="shared" si="0"/>
        <v>1.2916666666666667</v>
      </c>
      <c r="C38" s="266">
        <v>31</v>
      </c>
      <c r="D38" s="267">
        <f t="shared" si="5"/>
        <v>21658.749724059624</v>
      </c>
      <c r="E38" s="263">
        <f t="shared" si="1"/>
        <v>420</v>
      </c>
      <c r="F38" s="263">
        <f t="shared" si="1"/>
        <v>34.4</v>
      </c>
      <c r="G38" s="263">
        <f t="shared" si="1"/>
        <v>4.3</v>
      </c>
      <c r="K38" s="196">
        <f t="shared" si="2"/>
        <v>1</v>
      </c>
      <c r="L38" s="196">
        <f t="shared" si="3"/>
        <v>1</v>
      </c>
    </row>
    <row r="39" spans="1:12" x14ac:dyDescent="0.25">
      <c r="A39" s="196">
        <f t="shared" si="0"/>
        <v>1.3333333333333333</v>
      </c>
      <c r="C39" s="266">
        <v>32</v>
      </c>
      <c r="D39" s="267">
        <f t="shared" si="5"/>
        <v>23645.573726829716</v>
      </c>
      <c r="E39" s="263">
        <f t="shared" si="1"/>
        <v>420</v>
      </c>
      <c r="F39" s="263">
        <f t="shared" si="1"/>
        <v>34.4</v>
      </c>
      <c r="G39" s="263">
        <f t="shared" si="1"/>
        <v>4.3</v>
      </c>
      <c r="K39" s="196">
        <f t="shared" si="2"/>
        <v>1</v>
      </c>
      <c r="L39" s="196">
        <f t="shared" si="3"/>
        <v>1</v>
      </c>
    </row>
    <row r="40" spans="1:12" x14ac:dyDescent="0.25">
      <c r="A40" s="196">
        <f t="shared" si="0"/>
        <v>1.375</v>
      </c>
      <c r="C40" s="266">
        <v>33</v>
      </c>
      <c r="D40" s="267">
        <f t="shared" si="5"/>
        <v>25559.552921822593</v>
      </c>
      <c r="E40" s="263">
        <f t="shared" si="1"/>
        <v>420</v>
      </c>
      <c r="F40" s="263">
        <f t="shared" si="1"/>
        <v>34.4</v>
      </c>
      <c r="G40" s="263">
        <f t="shared" si="1"/>
        <v>4.3</v>
      </c>
      <c r="K40" s="196">
        <f t="shared" si="2"/>
        <v>1</v>
      </c>
      <c r="L40" s="196">
        <f t="shared" si="3"/>
        <v>1</v>
      </c>
    </row>
    <row r="41" spans="1:12" x14ac:dyDescent="0.25">
      <c r="A41" s="196">
        <f t="shared" si="0"/>
        <v>1.4166666666666667</v>
      </c>
      <c r="C41" s="266">
        <v>34</v>
      </c>
      <c r="D41" s="267">
        <f t="shared" si="5"/>
        <v>27069.466104765779</v>
      </c>
      <c r="E41" s="263">
        <f t="shared" si="1"/>
        <v>420</v>
      </c>
      <c r="F41" s="263">
        <f t="shared" si="1"/>
        <v>34.4</v>
      </c>
      <c r="G41" s="263">
        <f t="shared" si="1"/>
        <v>4.3</v>
      </c>
      <c r="K41" s="196">
        <f t="shared" si="2"/>
        <v>1</v>
      </c>
      <c r="L41" s="196">
        <f t="shared" si="3"/>
        <v>1</v>
      </c>
    </row>
    <row r="42" spans="1:12" x14ac:dyDescent="0.25">
      <c r="A42" s="196">
        <f t="shared" si="0"/>
        <v>1.4583333333333333</v>
      </c>
      <c r="C42" s="266">
        <v>35</v>
      </c>
      <c r="D42" s="267">
        <f t="shared" si="5"/>
        <v>27951.419768088908</v>
      </c>
      <c r="E42" s="263">
        <f t="shared" si="1"/>
        <v>420</v>
      </c>
      <c r="F42" s="263">
        <f t="shared" si="1"/>
        <v>34.4</v>
      </c>
      <c r="G42" s="263">
        <f t="shared" si="1"/>
        <v>4.3</v>
      </c>
      <c r="K42" s="196">
        <f t="shared" si="2"/>
        <v>1</v>
      </c>
      <c r="L42" s="196">
        <f t="shared" si="3"/>
        <v>1</v>
      </c>
    </row>
    <row r="43" spans="1:12" x14ac:dyDescent="0.25">
      <c r="A43" s="196">
        <f t="shared" si="0"/>
        <v>1.5</v>
      </c>
      <c r="C43" s="266">
        <v>36</v>
      </c>
      <c r="D43" s="267">
        <f t="shared" si="5"/>
        <v>28136.526698379879</v>
      </c>
      <c r="E43" s="263">
        <f t="shared" si="1"/>
        <v>420</v>
      </c>
      <c r="F43" s="263">
        <f t="shared" si="1"/>
        <v>34.4</v>
      </c>
      <c r="G43" s="263">
        <f t="shared" si="1"/>
        <v>4.3</v>
      </c>
      <c r="K43" s="196">
        <f t="shared" si="2"/>
        <v>1</v>
      </c>
      <c r="L43" s="196">
        <f t="shared" si="3"/>
        <v>1</v>
      </c>
    </row>
    <row r="44" spans="1:12" x14ac:dyDescent="0.25">
      <c r="A44" s="196">
        <f t="shared" si="0"/>
        <v>1.5416666666666667</v>
      </c>
      <c r="C44" s="266">
        <v>37</v>
      </c>
      <c r="D44" s="267">
        <f t="shared" si="5"/>
        <v>27717.95406557366</v>
      </c>
      <c r="E44" s="263">
        <f t="shared" si="1"/>
        <v>420</v>
      </c>
      <c r="F44" s="263">
        <f t="shared" si="1"/>
        <v>34.4</v>
      </c>
      <c r="G44" s="263">
        <f t="shared" si="1"/>
        <v>4.3</v>
      </c>
      <c r="K44" s="196">
        <f t="shared" si="2"/>
        <v>1</v>
      </c>
      <c r="L44" s="196">
        <f t="shared" si="3"/>
        <v>1</v>
      </c>
    </row>
    <row r="45" spans="1:12" x14ac:dyDescent="0.25">
      <c r="A45" s="196">
        <f t="shared" si="0"/>
        <v>1.5833333333333333</v>
      </c>
      <c r="C45" s="266">
        <v>38</v>
      </c>
      <c r="D45" s="267">
        <f t="shared" si="5"/>
        <v>26916.230059251931</v>
      </c>
      <c r="E45" s="263">
        <f t="shared" si="1"/>
        <v>420</v>
      </c>
      <c r="F45" s="263">
        <f t="shared" si="1"/>
        <v>34.4</v>
      </c>
      <c r="G45" s="263">
        <f t="shared" si="1"/>
        <v>4.3</v>
      </c>
      <c r="K45" s="196">
        <f t="shared" si="2"/>
        <v>1</v>
      </c>
      <c r="L45" s="196">
        <f t="shared" si="3"/>
        <v>1</v>
      </c>
    </row>
    <row r="46" spans="1:12" x14ac:dyDescent="0.25">
      <c r="A46" s="196">
        <f t="shared" si="0"/>
        <v>1.625</v>
      </c>
      <c r="C46" s="266">
        <v>39</v>
      </c>
      <c r="D46" s="267">
        <f t="shared" si="5"/>
        <v>26012.768166266866</v>
      </c>
      <c r="E46" s="263">
        <f t="shared" si="1"/>
        <v>420</v>
      </c>
      <c r="F46" s="263">
        <f t="shared" si="1"/>
        <v>34.4</v>
      </c>
      <c r="G46" s="263">
        <f t="shared" si="1"/>
        <v>4.3</v>
      </c>
      <c r="K46" s="196">
        <f t="shared" si="2"/>
        <v>1</v>
      </c>
      <c r="L46" s="196">
        <f t="shared" si="3"/>
        <v>1</v>
      </c>
    </row>
    <row r="47" spans="1:12" x14ac:dyDescent="0.25">
      <c r="A47" s="196">
        <f t="shared" si="0"/>
        <v>1.6666666666666667</v>
      </c>
      <c r="C47" s="266">
        <v>40</v>
      </c>
      <c r="D47" s="267">
        <f t="shared" si="5"/>
        <v>25269.924506717929</v>
      </c>
      <c r="E47" s="263">
        <f t="shared" si="1"/>
        <v>420</v>
      </c>
      <c r="F47" s="263">
        <f t="shared" si="1"/>
        <v>34.4</v>
      </c>
      <c r="G47" s="263">
        <f t="shared" si="1"/>
        <v>4.3</v>
      </c>
      <c r="K47" s="196">
        <f t="shared" si="2"/>
        <v>1</v>
      </c>
      <c r="L47" s="196">
        <f t="shared" si="3"/>
        <v>1</v>
      </c>
    </row>
    <row r="48" spans="1:12" x14ac:dyDescent="0.25">
      <c r="A48" s="196">
        <f t="shared" si="0"/>
        <v>1.7083333333333333</v>
      </c>
      <c r="C48" s="266">
        <v>41</v>
      </c>
      <c r="D48" s="267">
        <f t="shared" si="5"/>
        <v>24859.318067798482</v>
      </c>
      <c r="E48" s="263">
        <f t="shared" ref="E48:G48" si="6">E$3*$L48</f>
        <v>420</v>
      </c>
      <c r="F48" s="263">
        <f t="shared" si="6"/>
        <v>34.4</v>
      </c>
      <c r="G48" s="263">
        <f t="shared" si="6"/>
        <v>4.3</v>
      </c>
      <c r="K48" s="196">
        <f t="shared" si="2"/>
        <v>1</v>
      </c>
      <c r="L48" s="196">
        <f t="shared" si="3"/>
        <v>1</v>
      </c>
    </row>
    <row r="49" spans="1:12" x14ac:dyDescent="0.25">
      <c r="A49" s="196">
        <f t="shared" si="0"/>
        <v>1.75</v>
      </c>
      <c r="C49" s="266">
        <v>42</v>
      </c>
      <c r="D49" s="267">
        <f t="shared" si="5"/>
        <v>24817.714528515637</v>
      </c>
      <c r="E49" s="263">
        <f t="shared" si="1"/>
        <v>420</v>
      </c>
      <c r="F49" s="263">
        <f t="shared" si="1"/>
        <v>34.4</v>
      </c>
      <c r="G49" s="263">
        <f t="shared" si="1"/>
        <v>4.3</v>
      </c>
      <c r="K49" s="196">
        <f t="shared" si="2"/>
        <v>1</v>
      </c>
      <c r="L49" s="196">
        <f t="shared" si="3"/>
        <v>1</v>
      </c>
    </row>
    <row r="50" spans="1:12" x14ac:dyDescent="0.25">
      <c r="A50" s="196">
        <f t="shared" si="0"/>
        <v>1.7916666666666667</v>
      </c>
      <c r="C50" s="266">
        <v>43</v>
      </c>
      <c r="D50" s="267">
        <f t="shared" si="5"/>
        <v>25042.16719998778</v>
      </c>
      <c r="E50" s="263">
        <f t="shared" ref="E50:G103" si="7">E$3*$L50</f>
        <v>420</v>
      </c>
      <c r="F50" s="263">
        <f t="shared" si="7"/>
        <v>34.4</v>
      </c>
      <c r="G50" s="263">
        <f t="shared" si="7"/>
        <v>4.3</v>
      </c>
      <c r="K50" s="196">
        <f t="shared" si="2"/>
        <v>1</v>
      </c>
      <c r="L50" s="196">
        <f t="shared" si="3"/>
        <v>1</v>
      </c>
    </row>
    <row r="51" spans="1:12" x14ac:dyDescent="0.25">
      <c r="A51" s="196">
        <f t="shared" si="0"/>
        <v>1.8333333333333333</v>
      </c>
      <c r="C51" s="266">
        <v>44</v>
      </c>
      <c r="D51" s="267">
        <f t="shared" si="5"/>
        <v>25325.376847199761</v>
      </c>
      <c r="E51" s="263">
        <f t="shared" si="7"/>
        <v>420</v>
      </c>
      <c r="F51" s="263">
        <f t="shared" si="7"/>
        <v>34.4</v>
      </c>
      <c r="G51" s="263">
        <f t="shared" si="7"/>
        <v>4.3</v>
      </c>
      <c r="K51" s="196">
        <f t="shared" si="2"/>
        <v>1</v>
      </c>
      <c r="L51" s="196">
        <f t="shared" si="3"/>
        <v>1</v>
      </c>
    </row>
    <row r="52" spans="1:12" x14ac:dyDescent="0.25">
      <c r="A52" s="196">
        <f t="shared" si="0"/>
        <v>1.875</v>
      </c>
      <c r="C52" s="266">
        <v>45</v>
      </c>
      <c r="D52" s="267">
        <f t="shared" si="5"/>
        <v>25421.265879987212</v>
      </c>
      <c r="E52" s="263">
        <f t="shared" si="7"/>
        <v>420</v>
      </c>
      <c r="F52" s="263">
        <f t="shared" si="7"/>
        <v>34.4</v>
      </c>
      <c r="G52" s="263">
        <f t="shared" si="7"/>
        <v>4.3</v>
      </c>
      <c r="K52" s="196">
        <f t="shared" si="2"/>
        <v>1</v>
      </c>
      <c r="L52" s="196">
        <f t="shared" si="3"/>
        <v>1</v>
      </c>
    </row>
    <row r="53" spans="1:12" x14ac:dyDescent="0.25">
      <c r="A53" s="196">
        <f t="shared" si="0"/>
        <v>1.9166666666666667</v>
      </c>
      <c r="C53" s="266">
        <v>46</v>
      </c>
      <c r="D53" s="267">
        <f t="shared" si="5"/>
        <v>25122.51293409591</v>
      </c>
      <c r="E53" s="263">
        <f t="shared" si="7"/>
        <v>420</v>
      </c>
      <c r="F53" s="263">
        <f t="shared" si="7"/>
        <v>34.4</v>
      </c>
      <c r="G53" s="263">
        <f t="shared" si="7"/>
        <v>4.3</v>
      </c>
      <c r="K53" s="196">
        <f t="shared" si="2"/>
        <v>1</v>
      </c>
      <c r="L53" s="196">
        <f t="shared" si="3"/>
        <v>1</v>
      </c>
    </row>
    <row r="54" spans="1:12" x14ac:dyDescent="0.25">
      <c r="A54" s="196">
        <f t="shared" si="0"/>
        <v>1.9583333333333333</v>
      </c>
      <c r="C54" s="266">
        <v>47</v>
      </c>
      <c r="D54" s="267">
        <f t="shared" si="5"/>
        <v>24328.48210967347</v>
      </c>
      <c r="E54" s="263">
        <f t="shared" si="7"/>
        <v>420</v>
      </c>
      <c r="F54" s="263">
        <f t="shared" si="7"/>
        <v>34.4</v>
      </c>
      <c r="G54" s="263">
        <f t="shared" si="7"/>
        <v>4.3</v>
      </c>
      <c r="K54" s="196">
        <f t="shared" si="2"/>
        <v>1</v>
      </c>
      <c r="L54" s="196">
        <f t="shared" si="3"/>
        <v>1</v>
      </c>
    </row>
    <row r="55" spans="1:12" x14ac:dyDescent="0.25">
      <c r="A55" s="196">
        <f t="shared" si="0"/>
        <v>2</v>
      </c>
      <c r="C55" s="266">
        <v>48</v>
      </c>
      <c r="D55" s="267">
        <f t="shared" si="5"/>
        <v>23084.501766452362</v>
      </c>
      <c r="E55" s="263">
        <f t="shared" si="7"/>
        <v>420</v>
      </c>
      <c r="F55" s="263">
        <f t="shared" si="7"/>
        <v>34.4</v>
      </c>
      <c r="G55" s="263">
        <f t="shared" si="7"/>
        <v>4.3</v>
      </c>
      <c r="K55" s="196">
        <f t="shared" si="2"/>
        <v>1</v>
      </c>
      <c r="L55" s="196">
        <f t="shared" si="3"/>
        <v>1</v>
      </c>
    </row>
    <row r="56" spans="1:12" x14ac:dyDescent="0.25">
      <c r="A56" s="196">
        <f t="shared" si="0"/>
        <v>2.0416666666666665</v>
      </c>
      <c r="C56" s="266">
        <v>49</v>
      </c>
      <c r="D56" s="267">
        <f t="shared" si="5"/>
        <v>21581.12901037894</v>
      </c>
      <c r="E56" s="263">
        <f t="shared" si="7"/>
        <v>420</v>
      </c>
      <c r="F56" s="263">
        <f t="shared" si="7"/>
        <v>34.4</v>
      </c>
      <c r="G56" s="263">
        <f t="shared" si="7"/>
        <v>4.3</v>
      </c>
      <c r="K56" s="196">
        <f t="shared" si="2"/>
        <v>1</v>
      </c>
      <c r="L56" s="196">
        <f t="shared" si="3"/>
        <v>1</v>
      </c>
    </row>
    <row r="57" spans="1:12" x14ac:dyDescent="0.25">
      <c r="A57" s="196">
        <f t="shared" si="0"/>
        <v>2.0833333333333335</v>
      </c>
      <c r="C57" s="266">
        <v>50</v>
      </c>
      <c r="D57" s="267">
        <f t="shared" si="5"/>
        <v>20112.819366718602</v>
      </c>
      <c r="E57" s="263">
        <f t="shared" si="7"/>
        <v>420</v>
      </c>
      <c r="F57" s="263">
        <f t="shared" si="7"/>
        <v>34.4</v>
      </c>
      <c r="G57" s="263">
        <f t="shared" si="7"/>
        <v>4.3</v>
      </c>
      <c r="K57" s="196">
        <f t="shared" si="2"/>
        <v>1</v>
      </c>
      <c r="L57" s="196">
        <f t="shared" si="3"/>
        <v>1</v>
      </c>
    </row>
    <row r="58" spans="1:12" x14ac:dyDescent="0.25">
      <c r="A58" s="196">
        <f t="shared" si="0"/>
        <v>2.125</v>
      </c>
      <c r="C58" s="266">
        <v>51</v>
      </c>
      <c r="D58" s="267">
        <f t="shared" si="5"/>
        <v>19006.413031923323</v>
      </c>
      <c r="E58" s="263">
        <f t="shared" si="7"/>
        <v>420</v>
      </c>
      <c r="F58" s="263">
        <f t="shared" si="7"/>
        <v>34.4</v>
      </c>
      <c r="G58" s="263">
        <f t="shared" si="7"/>
        <v>4.3</v>
      </c>
      <c r="K58" s="196">
        <f t="shared" si="2"/>
        <v>1</v>
      </c>
      <c r="L58" s="196">
        <f t="shared" si="3"/>
        <v>1</v>
      </c>
    </row>
    <row r="59" spans="1:12" x14ac:dyDescent="0.25">
      <c r="A59" s="196">
        <f t="shared" si="0"/>
        <v>2.1666666666666665</v>
      </c>
      <c r="C59" s="266">
        <v>52</v>
      </c>
      <c r="D59" s="267">
        <f t="shared" si="5"/>
        <v>18538.096454420363</v>
      </c>
      <c r="E59" s="263">
        <f t="shared" si="7"/>
        <v>420</v>
      </c>
      <c r="F59" s="263">
        <f t="shared" si="7"/>
        <v>34.4</v>
      </c>
      <c r="G59" s="263">
        <f t="shared" si="7"/>
        <v>4.3</v>
      </c>
      <c r="K59" s="196">
        <f t="shared" si="2"/>
        <v>1</v>
      </c>
      <c r="L59" s="196">
        <f t="shared" si="3"/>
        <v>1</v>
      </c>
    </row>
    <row r="60" spans="1:12" x14ac:dyDescent="0.25">
      <c r="A60" s="196">
        <f t="shared" si="0"/>
        <v>2.2083333333333335</v>
      </c>
      <c r="C60" s="266">
        <v>53</v>
      </c>
      <c r="D60" s="267">
        <f t="shared" si="5"/>
        <v>18860.78005443911</v>
      </c>
      <c r="E60" s="263">
        <f t="shared" si="7"/>
        <v>420</v>
      </c>
      <c r="F60" s="263">
        <f t="shared" si="7"/>
        <v>34.4</v>
      </c>
      <c r="G60" s="263">
        <f t="shared" si="7"/>
        <v>4.3</v>
      </c>
      <c r="K60" s="196">
        <f t="shared" si="2"/>
        <v>1</v>
      </c>
      <c r="L60" s="196">
        <f t="shared" si="3"/>
        <v>1</v>
      </c>
    </row>
    <row r="61" spans="1:12" x14ac:dyDescent="0.25">
      <c r="A61" s="196">
        <f t="shared" si="0"/>
        <v>2.25</v>
      </c>
      <c r="C61" s="266">
        <v>54</v>
      </c>
      <c r="D61" s="267">
        <f t="shared" si="5"/>
        <v>19961.257006652133</v>
      </c>
      <c r="E61" s="263">
        <f t="shared" si="7"/>
        <v>420</v>
      </c>
      <c r="F61" s="263">
        <f t="shared" si="7"/>
        <v>34.4</v>
      </c>
      <c r="G61" s="263">
        <f t="shared" si="7"/>
        <v>4.3</v>
      </c>
      <c r="K61" s="196">
        <f t="shared" si="2"/>
        <v>1</v>
      </c>
      <c r="L61" s="196">
        <f t="shared" si="3"/>
        <v>1</v>
      </c>
    </row>
    <row r="62" spans="1:12" x14ac:dyDescent="0.25">
      <c r="A62" s="196">
        <f t="shared" si="0"/>
        <v>2.2916666666666665</v>
      </c>
      <c r="C62" s="266">
        <v>55</v>
      </c>
      <c r="D62" s="267">
        <f t="shared" si="5"/>
        <v>21658.749724059624</v>
      </c>
      <c r="E62" s="263">
        <f t="shared" si="7"/>
        <v>420</v>
      </c>
      <c r="F62" s="263">
        <f t="shared" si="7"/>
        <v>34.4</v>
      </c>
      <c r="G62" s="263">
        <f t="shared" si="7"/>
        <v>4.3</v>
      </c>
      <c r="K62" s="196">
        <f t="shared" si="2"/>
        <v>1</v>
      </c>
      <c r="L62" s="196">
        <f t="shared" si="3"/>
        <v>1</v>
      </c>
    </row>
    <row r="63" spans="1:12" x14ac:dyDescent="0.25">
      <c r="A63" s="196">
        <f t="shared" si="0"/>
        <v>2.3333333333333335</v>
      </c>
      <c r="C63" s="266">
        <v>56</v>
      </c>
      <c r="D63" s="267">
        <f t="shared" si="5"/>
        <v>23645.573726829716</v>
      </c>
      <c r="E63" s="263">
        <f t="shared" si="7"/>
        <v>420</v>
      </c>
      <c r="F63" s="263">
        <f t="shared" si="7"/>
        <v>34.4</v>
      </c>
      <c r="G63" s="263">
        <f t="shared" si="7"/>
        <v>4.3</v>
      </c>
      <c r="K63" s="196">
        <f t="shared" si="2"/>
        <v>1</v>
      </c>
      <c r="L63" s="196">
        <f t="shared" si="3"/>
        <v>1</v>
      </c>
    </row>
    <row r="64" spans="1:12" x14ac:dyDescent="0.25">
      <c r="A64" s="196">
        <f t="shared" si="0"/>
        <v>2.375</v>
      </c>
      <c r="C64" s="266">
        <v>57</v>
      </c>
      <c r="D64" s="267">
        <f t="shared" si="5"/>
        <v>25559.552921822593</v>
      </c>
      <c r="E64" s="263">
        <f t="shared" si="7"/>
        <v>420</v>
      </c>
      <c r="F64" s="263">
        <f t="shared" si="7"/>
        <v>34.4</v>
      </c>
      <c r="G64" s="263">
        <f t="shared" si="7"/>
        <v>4.3</v>
      </c>
      <c r="K64" s="196">
        <f t="shared" si="2"/>
        <v>1</v>
      </c>
      <c r="L64" s="196">
        <f t="shared" si="3"/>
        <v>1</v>
      </c>
    </row>
    <row r="65" spans="1:14" x14ac:dyDescent="0.25">
      <c r="A65" s="196">
        <f t="shared" si="0"/>
        <v>2.4166666666666665</v>
      </c>
      <c r="C65" s="266">
        <v>58</v>
      </c>
      <c r="D65" s="267">
        <f t="shared" si="5"/>
        <v>27069.466104765779</v>
      </c>
      <c r="E65" s="263">
        <f t="shared" si="7"/>
        <v>420</v>
      </c>
      <c r="F65" s="263">
        <f t="shared" si="7"/>
        <v>34.4</v>
      </c>
      <c r="G65" s="263">
        <f t="shared" si="7"/>
        <v>4.3</v>
      </c>
      <c r="K65" s="196">
        <f t="shared" si="2"/>
        <v>1</v>
      </c>
      <c r="L65" s="196">
        <f t="shared" si="3"/>
        <v>1</v>
      </c>
    </row>
    <row r="66" spans="1:14" x14ac:dyDescent="0.25">
      <c r="A66" s="196">
        <f t="shared" si="0"/>
        <v>2.4583333333333335</v>
      </c>
      <c r="C66" s="266">
        <v>59</v>
      </c>
      <c r="D66" s="267">
        <f t="shared" si="5"/>
        <v>27951.419768088908</v>
      </c>
      <c r="E66" s="263">
        <f t="shared" si="7"/>
        <v>420</v>
      </c>
      <c r="F66" s="263">
        <f t="shared" si="7"/>
        <v>34.4</v>
      </c>
      <c r="G66" s="263">
        <f t="shared" si="7"/>
        <v>4.3</v>
      </c>
      <c r="K66" s="196">
        <f t="shared" si="2"/>
        <v>1</v>
      </c>
      <c r="L66" s="196">
        <f t="shared" si="3"/>
        <v>1</v>
      </c>
    </row>
    <row r="67" spans="1:14" x14ac:dyDescent="0.25">
      <c r="A67" s="196">
        <f t="shared" si="0"/>
        <v>2.5</v>
      </c>
      <c r="C67" s="266">
        <v>60</v>
      </c>
      <c r="D67" s="267">
        <f t="shared" si="5"/>
        <v>28136.526698379879</v>
      </c>
      <c r="E67" s="263">
        <f t="shared" si="7"/>
        <v>420</v>
      </c>
      <c r="F67" s="263">
        <f t="shared" si="7"/>
        <v>34.4</v>
      </c>
      <c r="G67" s="263">
        <f t="shared" si="7"/>
        <v>4.3</v>
      </c>
      <c r="K67" s="196">
        <f t="shared" si="2"/>
        <v>1</v>
      </c>
      <c r="L67" s="196">
        <f t="shared" si="3"/>
        <v>1</v>
      </c>
    </row>
    <row r="68" spans="1:14" x14ac:dyDescent="0.25">
      <c r="A68" s="196">
        <f t="shared" si="0"/>
        <v>2.5416666666666665</v>
      </c>
      <c r="C68" s="266">
        <v>61</v>
      </c>
      <c r="D68" s="267">
        <f t="shared" si="5"/>
        <v>27717.95406557366</v>
      </c>
      <c r="E68" s="263">
        <f t="shared" si="7"/>
        <v>420</v>
      </c>
      <c r="F68" s="263">
        <f t="shared" si="7"/>
        <v>34.4</v>
      </c>
      <c r="G68" s="263">
        <f t="shared" si="7"/>
        <v>4.3</v>
      </c>
      <c r="K68" s="196">
        <f t="shared" si="2"/>
        <v>1</v>
      </c>
      <c r="L68" s="196">
        <f t="shared" si="3"/>
        <v>1</v>
      </c>
    </row>
    <row r="69" spans="1:14" x14ac:dyDescent="0.25">
      <c r="A69" s="196">
        <f t="shared" si="0"/>
        <v>2.5833333333333335</v>
      </c>
      <c r="C69" s="266">
        <v>62</v>
      </c>
      <c r="D69" s="267">
        <f t="shared" si="5"/>
        <v>26916.230059251931</v>
      </c>
      <c r="E69" s="263">
        <f t="shared" si="7"/>
        <v>420</v>
      </c>
      <c r="F69" s="263">
        <f t="shared" si="7"/>
        <v>34.4</v>
      </c>
      <c r="G69" s="263">
        <f t="shared" si="7"/>
        <v>4.3</v>
      </c>
      <c r="K69" s="196">
        <f t="shared" si="2"/>
        <v>1</v>
      </c>
      <c r="L69" s="196">
        <f t="shared" si="3"/>
        <v>1</v>
      </c>
    </row>
    <row r="70" spans="1:14" x14ac:dyDescent="0.25">
      <c r="A70" s="196">
        <f t="shared" si="0"/>
        <v>2.625</v>
      </c>
      <c r="C70" s="266">
        <v>63</v>
      </c>
      <c r="D70" s="267">
        <f t="shared" si="5"/>
        <v>26012.768166266866</v>
      </c>
      <c r="E70" s="263">
        <f t="shared" si="7"/>
        <v>420</v>
      </c>
      <c r="F70" s="263">
        <f t="shared" si="7"/>
        <v>34.4</v>
      </c>
      <c r="G70" s="263">
        <f t="shared" si="7"/>
        <v>4.3</v>
      </c>
      <c r="K70" s="196">
        <f t="shared" si="2"/>
        <v>1</v>
      </c>
      <c r="L70" s="196">
        <f t="shared" si="3"/>
        <v>1</v>
      </c>
    </row>
    <row r="71" spans="1:14" x14ac:dyDescent="0.25">
      <c r="A71" s="196">
        <f t="shared" si="0"/>
        <v>2.6666666666666665</v>
      </c>
      <c r="C71" s="266">
        <v>64</v>
      </c>
      <c r="D71" s="267">
        <f t="shared" si="5"/>
        <v>25269.924506717929</v>
      </c>
      <c r="E71" s="263">
        <f t="shared" si="7"/>
        <v>420</v>
      </c>
      <c r="F71" s="263">
        <f t="shared" si="7"/>
        <v>34.4</v>
      </c>
      <c r="G71" s="263">
        <f t="shared" si="7"/>
        <v>4.3</v>
      </c>
      <c r="K71" s="196">
        <f t="shared" si="2"/>
        <v>1</v>
      </c>
      <c r="L71" s="196">
        <f t="shared" si="3"/>
        <v>1</v>
      </c>
    </row>
    <row r="72" spans="1:14" x14ac:dyDescent="0.25">
      <c r="A72" s="196">
        <f t="shared" ref="A72:A135" si="8">C72/24</f>
        <v>2.7083333333333335</v>
      </c>
      <c r="C72" s="266">
        <v>65</v>
      </c>
      <c r="D72" s="267">
        <f t="shared" si="5"/>
        <v>24859.318067798482</v>
      </c>
      <c r="E72" s="263">
        <f t="shared" si="7"/>
        <v>420</v>
      </c>
      <c r="F72" s="263">
        <f t="shared" si="7"/>
        <v>34.4</v>
      </c>
      <c r="G72" s="263">
        <f t="shared" si="7"/>
        <v>4.3</v>
      </c>
      <c r="K72" s="196">
        <f t="shared" ref="K72:K78" si="9">$T$6</f>
        <v>1</v>
      </c>
      <c r="L72" s="196">
        <f t="shared" ref="L72:L78" si="10">$U$6</f>
        <v>1</v>
      </c>
    </row>
    <row r="73" spans="1:14" x14ac:dyDescent="0.25">
      <c r="A73" s="196">
        <f t="shared" si="8"/>
        <v>2.75</v>
      </c>
      <c r="C73" s="266">
        <v>66</v>
      </c>
      <c r="D73" s="267">
        <f t="shared" si="5"/>
        <v>24817.714528515637</v>
      </c>
      <c r="E73" s="263">
        <f t="shared" si="7"/>
        <v>420</v>
      </c>
      <c r="F73" s="263">
        <f t="shared" si="7"/>
        <v>34.4</v>
      </c>
      <c r="G73" s="263">
        <f t="shared" si="7"/>
        <v>4.3</v>
      </c>
      <c r="K73" s="196">
        <f t="shared" si="9"/>
        <v>1</v>
      </c>
      <c r="L73" s="196">
        <f t="shared" si="10"/>
        <v>1</v>
      </c>
    </row>
    <row r="74" spans="1:14" x14ac:dyDescent="0.25">
      <c r="A74" s="196">
        <f t="shared" si="8"/>
        <v>2.7916666666666665</v>
      </c>
      <c r="C74" s="266">
        <v>67</v>
      </c>
      <c r="D74" s="267">
        <f t="shared" si="5"/>
        <v>25042.16719998778</v>
      </c>
      <c r="E74" s="263">
        <f t="shared" si="7"/>
        <v>420</v>
      </c>
      <c r="F74" s="263">
        <f t="shared" si="7"/>
        <v>34.4</v>
      </c>
      <c r="G74" s="263">
        <f t="shared" si="7"/>
        <v>4.3</v>
      </c>
      <c r="K74" s="196">
        <f t="shared" si="9"/>
        <v>1</v>
      </c>
      <c r="L74" s="196">
        <f t="shared" si="10"/>
        <v>1</v>
      </c>
    </row>
    <row r="75" spans="1:14" x14ac:dyDescent="0.25">
      <c r="A75" s="196">
        <f t="shared" si="8"/>
        <v>2.8333333333333335</v>
      </c>
      <c r="C75" s="266">
        <v>68</v>
      </c>
      <c r="D75" s="267">
        <f t="shared" si="5"/>
        <v>25325.376847199761</v>
      </c>
      <c r="E75" s="263">
        <f t="shared" si="7"/>
        <v>420</v>
      </c>
      <c r="F75" s="263">
        <f t="shared" si="7"/>
        <v>34.4</v>
      </c>
      <c r="G75" s="263">
        <f t="shared" si="7"/>
        <v>4.3</v>
      </c>
      <c r="K75" s="196">
        <f t="shared" si="9"/>
        <v>1</v>
      </c>
      <c r="L75" s="196">
        <f t="shared" si="10"/>
        <v>1</v>
      </c>
    </row>
    <row r="76" spans="1:14" x14ac:dyDescent="0.25">
      <c r="A76" s="196">
        <f t="shared" si="8"/>
        <v>2.875</v>
      </c>
      <c r="C76" s="266">
        <v>69</v>
      </c>
      <c r="D76" s="267">
        <f t="shared" si="5"/>
        <v>25421.265879987212</v>
      </c>
      <c r="E76" s="263">
        <f t="shared" si="7"/>
        <v>420</v>
      </c>
      <c r="F76" s="263">
        <f t="shared" si="7"/>
        <v>34.4</v>
      </c>
      <c r="G76" s="263">
        <f t="shared" si="7"/>
        <v>4.3</v>
      </c>
      <c r="K76" s="196">
        <f t="shared" si="9"/>
        <v>1</v>
      </c>
      <c r="L76" s="196">
        <f t="shared" si="10"/>
        <v>1</v>
      </c>
    </row>
    <row r="77" spans="1:14" x14ac:dyDescent="0.25">
      <c r="A77" s="196">
        <f t="shared" si="8"/>
        <v>2.9166666666666665</v>
      </c>
      <c r="C77" s="266">
        <v>70</v>
      </c>
      <c r="D77" s="267">
        <f t="shared" si="5"/>
        <v>25122.51293409591</v>
      </c>
      <c r="E77" s="263">
        <f t="shared" si="7"/>
        <v>420</v>
      </c>
      <c r="F77" s="263">
        <f t="shared" si="7"/>
        <v>34.4</v>
      </c>
      <c r="G77" s="263">
        <f t="shared" si="7"/>
        <v>4.3</v>
      </c>
      <c r="K77" s="196">
        <f t="shared" si="9"/>
        <v>1</v>
      </c>
      <c r="L77" s="196">
        <f t="shared" si="10"/>
        <v>1</v>
      </c>
    </row>
    <row r="78" spans="1:14" x14ac:dyDescent="0.25">
      <c r="A78" s="196">
        <f t="shared" si="8"/>
        <v>2.9583333333333335</v>
      </c>
      <c r="C78" s="266">
        <v>71</v>
      </c>
      <c r="D78" s="267">
        <f t="shared" si="5"/>
        <v>24328.48210967347</v>
      </c>
      <c r="E78" s="263">
        <f t="shared" si="7"/>
        <v>420</v>
      </c>
      <c r="F78" s="263">
        <f t="shared" si="7"/>
        <v>34.4</v>
      </c>
      <c r="G78" s="263">
        <f t="shared" si="7"/>
        <v>4.3</v>
      </c>
      <c r="K78" s="196">
        <f t="shared" si="9"/>
        <v>1</v>
      </c>
      <c r="L78" s="196">
        <f t="shared" si="10"/>
        <v>1</v>
      </c>
    </row>
    <row r="79" spans="1:14" x14ac:dyDescent="0.25">
      <c r="A79" s="196">
        <f t="shared" si="8"/>
        <v>3</v>
      </c>
      <c r="C79" s="268">
        <v>72</v>
      </c>
      <c r="D79" s="272">
        <f t="shared" si="5"/>
        <v>46169.003532904724</v>
      </c>
      <c r="E79" s="264">
        <f t="shared" si="7"/>
        <v>336</v>
      </c>
      <c r="F79" s="264">
        <f t="shared" si="7"/>
        <v>27.52</v>
      </c>
      <c r="G79" s="264">
        <f t="shared" si="7"/>
        <v>3.44</v>
      </c>
      <c r="K79" s="196">
        <f>$T$9</f>
        <v>2</v>
      </c>
      <c r="L79" s="196">
        <f>$U$9</f>
        <v>0.8</v>
      </c>
      <c r="N79" t="s">
        <v>307</v>
      </c>
    </row>
    <row r="80" spans="1:14" x14ac:dyDescent="0.25">
      <c r="A80" s="196">
        <f t="shared" si="8"/>
        <v>3.0416666666666665</v>
      </c>
      <c r="C80" s="268">
        <v>73</v>
      </c>
      <c r="D80" s="272">
        <f t="shared" si="5"/>
        <v>43162.258020757879</v>
      </c>
      <c r="E80" s="264">
        <f t="shared" si="7"/>
        <v>336</v>
      </c>
      <c r="F80" s="264">
        <f t="shared" si="7"/>
        <v>27.52</v>
      </c>
      <c r="G80" s="264">
        <f t="shared" si="7"/>
        <v>3.44</v>
      </c>
      <c r="K80" s="196">
        <f t="shared" ref="K80:K143" si="11">$T$9</f>
        <v>2</v>
      </c>
      <c r="L80" s="196">
        <f t="shared" ref="L80:L143" si="12">$U$9</f>
        <v>0.8</v>
      </c>
    </row>
    <row r="81" spans="1:12" x14ac:dyDescent="0.25">
      <c r="A81" s="196">
        <f t="shared" si="8"/>
        <v>3.0833333333333335</v>
      </c>
      <c r="C81" s="268">
        <v>74</v>
      </c>
      <c r="D81" s="272">
        <f t="shared" si="5"/>
        <v>40225.638733437205</v>
      </c>
      <c r="E81" s="264">
        <f t="shared" si="7"/>
        <v>336</v>
      </c>
      <c r="F81" s="264">
        <f t="shared" si="7"/>
        <v>27.52</v>
      </c>
      <c r="G81" s="264">
        <f t="shared" si="7"/>
        <v>3.44</v>
      </c>
      <c r="K81" s="196">
        <f t="shared" si="11"/>
        <v>2</v>
      </c>
      <c r="L81" s="196">
        <f t="shared" si="12"/>
        <v>0.8</v>
      </c>
    </row>
    <row r="82" spans="1:12" x14ac:dyDescent="0.25">
      <c r="A82" s="196">
        <f t="shared" si="8"/>
        <v>3.125</v>
      </c>
      <c r="C82" s="268">
        <v>75</v>
      </c>
      <c r="D82" s="272">
        <f t="shared" si="5"/>
        <v>38012.826063846645</v>
      </c>
      <c r="E82" s="264">
        <f t="shared" si="7"/>
        <v>336</v>
      </c>
      <c r="F82" s="264">
        <f t="shared" si="7"/>
        <v>27.52</v>
      </c>
      <c r="G82" s="264">
        <f t="shared" si="7"/>
        <v>3.44</v>
      </c>
      <c r="K82" s="196">
        <f t="shared" si="11"/>
        <v>2</v>
      </c>
      <c r="L82" s="196">
        <f t="shared" si="12"/>
        <v>0.8</v>
      </c>
    </row>
    <row r="83" spans="1:12" x14ac:dyDescent="0.25">
      <c r="A83" s="196">
        <f t="shared" si="8"/>
        <v>3.1666666666666665</v>
      </c>
      <c r="C83" s="268">
        <v>76</v>
      </c>
      <c r="D83" s="272">
        <f t="shared" si="5"/>
        <v>37076.192908840727</v>
      </c>
      <c r="E83" s="264">
        <f t="shared" si="7"/>
        <v>336</v>
      </c>
      <c r="F83" s="264">
        <f t="shared" si="7"/>
        <v>27.52</v>
      </c>
      <c r="G83" s="264">
        <f t="shared" si="7"/>
        <v>3.44</v>
      </c>
      <c r="K83" s="196">
        <f t="shared" si="11"/>
        <v>2</v>
      </c>
      <c r="L83" s="196">
        <f t="shared" si="12"/>
        <v>0.8</v>
      </c>
    </row>
    <row r="84" spans="1:12" x14ac:dyDescent="0.25">
      <c r="A84" s="196">
        <f t="shared" si="8"/>
        <v>3.2083333333333335</v>
      </c>
      <c r="C84" s="268">
        <v>77</v>
      </c>
      <c r="D84" s="272">
        <f t="shared" si="5"/>
        <v>37721.56010887822</v>
      </c>
      <c r="E84" s="264">
        <f t="shared" si="7"/>
        <v>336</v>
      </c>
      <c r="F84" s="264">
        <f t="shared" si="7"/>
        <v>27.52</v>
      </c>
      <c r="G84" s="264">
        <f t="shared" si="7"/>
        <v>3.44</v>
      </c>
      <c r="K84" s="196">
        <f t="shared" si="11"/>
        <v>2</v>
      </c>
      <c r="L84" s="196">
        <f t="shared" si="12"/>
        <v>0.8</v>
      </c>
    </row>
    <row r="85" spans="1:12" x14ac:dyDescent="0.25">
      <c r="A85" s="196">
        <f t="shared" si="8"/>
        <v>3.25</v>
      </c>
      <c r="C85" s="268">
        <v>78</v>
      </c>
      <c r="D85" s="272">
        <f t="shared" si="5"/>
        <v>39922.514013304266</v>
      </c>
      <c r="E85" s="264">
        <f t="shared" si="7"/>
        <v>336</v>
      </c>
      <c r="F85" s="264">
        <f t="shared" si="7"/>
        <v>27.52</v>
      </c>
      <c r="G85" s="264">
        <f t="shared" si="7"/>
        <v>3.44</v>
      </c>
      <c r="K85" s="196">
        <f t="shared" si="11"/>
        <v>2</v>
      </c>
      <c r="L85" s="196">
        <f t="shared" si="12"/>
        <v>0.8</v>
      </c>
    </row>
    <row r="86" spans="1:12" x14ac:dyDescent="0.25">
      <c r="A86" s="196">
        <f t="shared" si="8"/>
        <v>3.2916666666666665</v>
      </c>
      <c r="C86" s="268">
        <v>79</v>
      </c>
      <c r="D86" s="272">
        <f t="shared" si="5"/>
        <v>43317.499448119248</v>
      </c>
      <c r="E86" s="264">
        <f t="shared" si="7"/>
        <v>336</v>
      </c>
      <c r="F86" s="264">
        <f t="shared" si="7"/>
        <v>27.52</v>
      </c>
      <c r="G86" s="264">
        <f t="shared" si="7"/>
        <v>3.44</v>
      </c>
      <c r="K86" s="196">
        <f t="shared" si="11"/>
        <v>2</v>
      </c>
      <c r="L86" s="196">
        <f t="shared" si="12"/>
        <v>0.8</v>
      </c>
    </row>
    <row r="87" spans="1:12" x14ac:dyDescent="0.25">
      <c r="A87" s="196">
        <f t="shared" si="8"/>
        <v>3.3333333333333335</v>
      </c>
      <c r="C87" s="268">
        <v>80</v>
      </c>
      <c r="D87" s="272">
        <f t="shared" si="5"/>
        <v>47291.147453659432</v>
      </c>
      <c r="E87" s="264">
        <f t="shared" si="7"/>
        <v>336</v>
      </c>
      <c r="F87" s="264">
        <f t="shared" si="7"/>
        <v>27.52</v>
      </c>
      <c r="G87" s="264">
        <f t="shared" si="7"/>
        <v>3.44</v>
      </c>
      <c r="K87" s="196">
        <f t="shared" si="11"/>
        <v>2</v>
      </c>
      <c r="L87" s="196">
        <f t="shared" si="12"/>
        <v>0.8</v>
      </c>
    </row>
    <row r="88" spans="1:12" x14ac:dyDescent="0.25">
      <c r="A88" s="196">
        <f t="shared" si="8"/>
        <v>3.375</v>
      </c>
      <c r="C88" s="268">
        <v>81</v>
      </c>
      <c r="D88" s="272">
        <f t="shared" si="5"/>
        <v>51119.105843645186</v>
      </c>
      <c r="E88" s="264">
        <f t="shared" si="7"/>
        <v>336</v>
      </c>
      <c r="F88" s="264">
        <f t="shared" si="7"/>
        <v>27.52</v>
      </c>
      <c r="G88" s="264">
        <f t="shared" si="7"/>
        <v>3.44</v>
      </c>
      <c r="K88" s="196">
        <f t="shared" si="11"/>
        <v>2</v>
      </c>
      <c r="L88" s="196">
        <f t="shared" si="12"/>
        <v>0.8</v>
      </c>
    </row>
    <row r="89" spans="1:12" x14ac:dyDescent="0.25">
      <c r="A89" s="196">
        <f t="shared" si="8"/>
        <v>3.4166666666666665</v>
      </c>
      <c r="C89" s="268">
        <v>82</v>
      </c>
      <c r="D89" s="272">
        <f t="shared" si="5"/>
        <v>54138.932209531558</v>
      </c>
      <c r="E89" s="264">
        <f t="shared" si="7"/>
        <v>336</v>
      </c>
      <c r="F89" s="264">
        <f t="shared" si="7"/>
        <v>27.52</v>
      </c>
      <c r="G89" s="264">
        <f t="shared" si="7"/>
        <v>3.44</v>
      </c>
      <c r="K89" s="196">
        <f t="shared" si="11"/>
        <v>2</v>
      </c>
      <c r="L89" s="196">
        <f t="shared" si="12"/>
        <v>0.8</v>
      </c>
    </row>
    <row r="90" spans="1:12" x14ac:dyDescent="0.25">
      <c r="A90" s="196">
        <f t="shared" si="8"/>
        <v>3.4583333333333335</v>
      </c>
      <c r="C90" s="268">
        <v>83</v>
      </c>
      <c r="D90" s="272">
        <f t="shared" si="5"/>
        <v>55902.839536177817</v>
      </c>
      <c r="E90" s="264">
        <f t="shared" si="7"/>
        <v>336</v>
      </c>
      <c r="F90" s="264">
        <f t="shared" si="7"/>
        <v>27.52</v>
      </c>
      <c r="G90" s="264">
        <f t="shared" si="7"/>
        <v>3.44</v>
      </c>
      <c r="K90" s="196">
        <f t="shared" si="11"/>
        <v>2</v>
      </c>
      <c r="L90" s="196">
        <f t="shared" si="12"/>
        <v>0.8</v>
      </c>
    </row>
    <row r="91" spans="1:12" x14ac:dyDescent="0.25">
      <c r="A91" s="196">
        <f t="shared" si="8"/>
        <v>3.5</v>
      </c>
      <c r="C91" s="268">
        <v>84</v>
      </c>
      <c r="D91" s="272">
        <f t="shared" si="5"/>
        <v>56273.053396759758</v>
      </c>
      <c r="E91" s="264">
        <f t="shared" si="7"/>
        <v>336</v>
      </c>
      <c r="F91" s="264">
        <f t="shared" si="7"/>
        <v>27.52</v>
      </c>
      <c r="G91" s="264">
        <f t="shared" si="7"/>
        <v>3.44</v>
      </c>
      <c r="K91" s="196">
        <f t="shared" si="11"/>
        <v>2</v>
      </c>
      <c r="L91" s="196">
        <f t="shared" si="12"/>
        <v>0.8</v>
      </c>
    </row>
    <row r="92" spans="1:12" x14ac:dyDescent="0.25">
      <c r="A92" s="196">
        <f t="shared" si="8"/>
        <v>3.5416666666666665</v>
      </c>
      <c r="C92" s="268">
        <v>85</v>
      </c>
      <c r="D92" s="272">
        <f t="shared" si="5"/>
        <v>55435.90813114732</v>
      </c>
      <c r="E92" s="264">
        <f t="shared" si="7"/>
        <v>336</v>
      </c>
      <c r="F92" s="264">
        <f t="shared" si="7"/>
        <v>27.52</v>
      </c>
      <c r="G92" s="264">
        <f t="shared" si="7"/>
        <v>3.44</v>
      </c>
      <c r="K92" s="196">
        <f t="shared" si="11"/>
        <v>2</v>
      </c>
      <c r="L92" s="196">
        <f t="shared" si="12"/>
        <v>0.8</v>
      </c>
    </row>
    <row r="93" spans="1:12" x14ac:dyDescent="0.25">
      <c r="A93" s="196">
        <f t="shared" si="8"/>
        <v>3.5833333333333335</v>
      </c>
      <c r="C93" s="268">
        <v>86</v>
      </c>
      <c r="D93" s="272">
        <f t="shared" si="5"/>
        <v>53832.460118503863</v>
      </c>
      <c r="E93" s="264">
        <f t="shared" si="7"/>
        <v>336</v>
      </c>
      <c r="F93" s="264">
        <f t="shared" si="7"/>
        <v>27.52</v>
      </c>
      <c r="G93" s="264">
        <f t="shared" si="7"/>
        <v>3.44</v>
      </c>
      <c r="K93" s="196">
        <f t="shared" si="11"/>
        <v>2</v>
      </c>
      <c r="L93" s="196">
        <f t="shared" si="12"/>
        <v>0.8</v>
      </c>
    </row>
    <row r="94" spans="1:12" x14ac:dyDescent="0.25">
      <c r="A94" s="196">
        <f t="shared" si="8"/>
        <v>3.625</v>
      </c>
      <c r="C94" s="268">
        <v>87</v>
      </c>
      <c r="D94" s="272">
        <f t="shared" si="5"/>
        <v>52025.536332533731</v>
      </c>
      <c r="E94" s="264">
        <f t="shared" si="7"/>
        <v>336</v>
      </c>
      <c r="F94" s="264">
        <f t="shared" si="7"/>
        <v>27.52</v>
      </c>
      <c r="G94" s="264">
        <f t="shared" si="7"/>
        <v>3.44</v>
      </c>
      <c r="K94" s="196">
        <f t="shared" si="11"/>
        <v>2</v>
      </c>
      <c r="L94" s="196">
        <f t="shared" si="12"/>
        <v>0.8</v>
      </c>
    </row>
    <row r="95" spans="1:12" x14ac:dyDescent="0.25">
      <c r="A95" s="196">
        <f t="shared" si="8"/>
        <v>3.6666666666666665</v>
      </c>
      <c r="C95" s="268">
        <v>88</v>
      </c>
      <c r="D95" s="272">
        <f t="shared" si="5"/>
        <v>50539.849013435858</v>
      </c>
      <c r="E95" s="264">
        <f t="shared" si="7"/>
        <v>336</v>
      </c>
      <c r="F95" s="264">
        <f t="shared" si="7"/>
        <v>27.52</v>
      </c>
      <c r="G95" s="264">
        <f t="shared" si="7"/>
        <v>3.44</v>
      </c>
      <c r="K95" s="196">
        <f t="shared" si="11"/>
        <v>2</v>
      </c>
      <c r="L95" s="196">
        <f t="shared" si="12"/>
        <v>0.8</v>
      </c>
    </row>
    <row r="96" spans="1:12" x14ac:dyDescent="0.25">
      <c r="A96" s="196">
        <f t="shared" si="8"/>
        <v>3.7083333333333335</v>
      </c>
      <c r="C96" s="268">
        <v>89</v>
      </c>
      <c r="D96" s="272">
        <f t="shared" ref="D96:D102" si="13">D72*K96</f>
        <v>49718.636135596964</v>
      </c>
      <c r="E96" s="264">
        <f t="shared" si="7"/>
        <v>336</v>
      </c>
      <c r="F96" s="264">
        <f t="shared" si="7"/>
        <v>27.52</v>
      </c>
      <c r="G96" s="264">
        <f t="shared" si="7"/>
        <v>3.44</v>
      </c>
      <c r="K96" s="196">
        <f t="shared" si="11"/>
        <v>2</v>
      </c>
      <c r="L96" s="196">
        <f t="shared" si="12"/>
        <v>0.8</v>
      </c>
    </row>
    <row r="97" spans="1:18" x14ac:dyDescent="0.25">
      <c r="A97" s="196">
        <f t="shared" si="8"/>
        <v>3.75</v>
      </c>
      <c r="C97" s="268">
        <v>90</v>
      </c>
      <c r="D97" s="272">
        <f t="shared" si="13"/>
        <v>49635.429057031273</v>
      </c>
      <c r="E97" s="264">
        <f t="shared" si="7"/>
        <v>336</v>
      </c>
      <c r="F97" s="264">
        <f t="shared" si="7"/>
        <v>27.52</v>
      </c>
      <c r="G97" s="264">
        <f t="shared" si="7"/>
        <v>3.44</v>
      </c>
      <c r="K97" s="196">
        <f t="shared" si="11"/>
        <v>2</v>
      </c>
      <c r="L97" s="196">
        <f t="shared" si="12"/>
        <v>0.8</v>
      </c>
    </row>
    <row r="98" spans="1:18" x14ac:dyDescent="0.25">
      <c r="A98" s="196">
        <f t="shared" si="8"/>
        <v>3.7916666666666665</v>
      </c>
      <c r="C98" s="268">
        <v>91</v>
      </c>
      <c r="D98" s="272">
        <f t="shared" si="13"/>
        <v>50084.33439997556</v>
      </c>
      <c r="E98" s="264">
        <f t="shared" si="7"/>
        <v>336</v>
      </c>
      <c r="F98" s="264">
        <f t="shared" si="7"/>
        <v>27.52</v>
      </c>
      <c r="G98" s="264">
        <f t="shared" si="7"/>
        <v>3.44</v>
      </c>
      <c r="K98" s="196">
        <f t="shared" si="11"/>
        <v>2</v>
      </c>
      <c r="L98" s="196">
        <f t="shared" si="12"/>
        <v>0.8</v>
      </c>
    </row>
    <row r="99" spans="1:18" x14ac:dyDescent="0.25">
      <c r="A99" s="196">
        <f t="shared" si="8"/>
        <v>3.8333333333333335</v>
      </c>
      <c r="C99" s="268">
        <v>92</v>
      </c>
      <c r="D99" s="272">
        <f t="shared" si="13"/>
        <v>50650.753694399522</v>
      </c>
      <c r="E99" s="264">
        <f t="shared" si="7"/>
        <v>336</v>
      </c>
      <c r="F99" s="264">
        <f t="shared" si="7"/>
        <v>27.52</v>
      </c>
      <c r="G99" s="264">
        <f t="shared" si="7"/>
        <v>3.44</v>
      </c>
      <c r="K99" s="196">
        <f t="shared" si="11"/>
        <v>2</v>
      </c>
      <c r="L99" s="196">
        <f t="shared" si="12"/>
        <v>0.8</v>
      </c>
    </row>
    <row r="100" spans="1:18" x14ac:dyDescent="0.25">
      <c r="A100" s="196">
        <f t="shared" si="8"/>
        <v>3.875</v>
      </c>
      <c r="C100" s="268">
        <v>93</v>
      </c>
      <c r="D100" s="272">
        <f t="shared" si="13"/>
        <v>50842.531759974423</v>
      </c>
      <c r="E100" s="264">
        <f t="shared" si="7"/>
        <v>336</v>
      </c>
      <c r="F100" s="264">
        <f t="shared" si="7"/>
        <v>27.52</v>
      </c>
      <c r="G100" s="264">
        <f t="shared" si="7"/>
        <v>3.44</v>
      </c>
      <c r="K100" s="196">
        <f t="shared" si="11"/>
        <v>2</v>
      </c>
      <c r="L100" s="196">
        <f t="shared" si="12"/>
        <v>0.8</v>
      </c>
    </row>
    <row r="101" spans="1:18" x14ac:dyDescent="0.25">
      <c r="A101" s="196">
        <f t="shared" si="8"/>
        <v>3.9166666666666665</v>
      </c>
      <c r="C101" s="268">
        <v>94</v>
      </c>
      <c r="D101" s="272">
        <f t="shared" si="13"/>
        <v>50245.02586819182</v>
      </c>
      <c r="E101" s="264">
        <f t="shared" si="7"/>
        <v>336</v>
      </c>
      <c r="F101" s="264">
        <f t="shared" si="7"/>
        <v>27.52</v>
      </c>
      <c r="G101" s="264">
        <f t="shared" si="7"/>
        <v>3.44</v>
      </c>
      <c r="K101" s="196">
        <f t="shared" si="11"/>
        <v>2</v>
      </c>
      <c r="L101" s="196">
        <f t="shared" si="12"/>
        <v>0.8</v>
      </c>
    </row>
    <row r="102" spans="1:18" x14ac:dyDescent="0.25">
      <c r="A102" s="196">
        <f t="shared" si="8"/>
        <v>3.9583333333333335</v>
      </c>
      <c r="C102" s="268">
        <v>95</v>
      </c>
      <c r="D102" s="272">
        <f t="shared" si="13"/>
        <v>48656.964219346941</v>
      </c>
      <c r="E102" s="264">
        <f t="shared" si="7"/>
        <v>336</v>
      </c>
      <c r="F102" s="264">
        <f t="shared" si="7"/>
        <v>27.52</v>
      </c>
      <c r="G102" s="264">
        <f t="shared" si="7"/>
        <v>3.44</v>
      </c>
      <c r="K102" s="196">
        <f t="shared" si="11"/>
        <v>2</v>
      </c>
      <c r="L102" s="196">
        <f t="shared" si="12"/>
        <v>0.8</v>
      </c>
    </row>
    <row r="103" spans="1:18" x14ac:dyDescent="0.25">
      <c r="A103" s="196">
        <f t="shared" si="8"/>
        <v>4</v>
      </c>
      <c r="C103" s="268">
        <v>96</v>
      </c>
      <c r="D103" s="272">
        <f>D7*K103</f>
        <v>46169.003532904724</v>
      </c>
      <c r="E103" s="264">
        <f t="shared" si="7"/>
        <v>336</v>
      </c>
      <c r="F103" s="264">
        <f t="shared" si="7"/>
        <v>27.52</v>
      </c>
      <c r="G103" s="264">
        <f t="shared" si="7"/>
        <v>3.44</v>
      </c>
      <c r="K103" s="196">
        <f t="shared" si="11"/>
        <v>2</v>
      </c>
      <c r="L103" s="196">
        <f t="shared" si="12"/>
        <v>0.8</v>
      </c>
    </row>
    <row r="104" spans="1:18" x14ac:dyDescent="0.25">
      <c r="A104" s="196">
        <f t="shared" si="8"/>
        <v>4.041666666666667</v>
      </c>
      <c r="C104" s="268">
        <v>97</v>
      </c>
      <c r="D104" s="272">
        <f t="shared" ref="D104:D167" si="14">D8*K104</f>
        <v>43162.258020757879</v>
      </c>
      <c r="E104" s="264">
        <f t="shared" ref="E104:G167" si="15">E$3*$L104</f>
        <v>336</v>
      </c>
      <c r="F104" s="264">
        <f t="shared" si="15"/>
        <v>27.52</v>
      </c>
      <c r="G104" s="264">
        <f t="shared" si="15"/>
        <v>3.44</v>
      </c>
      <c r="K104" s="196">
        <f t="shared" si="11"/>
        <v>2</v>
      </c>
      <c r="L104" s="196">
        <f t="shared" si="12"/>
        <v>0.8</v>
      </c>
      <c r="M104" s="196">
        <v>0.8</v>
      </c>
    </row>
    <row r="105" spans="1:18" x14ac:dyDescent="0.25">
      <c r="A105" s="196">
        <f t="shared" si="8"/>
        <v>4.083333333333333</v>
      </c>
      <c r="C105" s="268">
        <v>98</v>
      </c>
      <c r="D105" s="272">
        <f t="shared" si="14"/>
        <v>40225.638733437205</v>
      </c>
      <c r="E105" s="264">
        <f t="shared" si="15"/>
        <v>336</v>
      </c>
      <c r="F105" s="264">
        <f t="shared" si="15"/>
        <v>27.52</v>
      </c>
      <c r="G105" s="264">
        <f t="shared" si="15"/>
        <v>3.44</v>
      </c>
      <c r="K105" s="196">
        <f t="shared" si="11"/>
        <v>2</v>
      </c>
      <c r="L105" s="196">
        <f t="shared" si="12"/>
        <v>0.8</v>
      </c>
    </row>
    <row r="106" spans="1:18" x14ac:dyDescent="0.25">
      <c r="A106" s="196">
        <f t="shared" si="8"/>
        <v>4.125</v>
      </c>
      <c r="C106" s="268">
        <v>99</v>
      </c>
      <c r="D106" s="272">
        <f t="shared" si="14"/>
        <v>38012.826063846645</v>
      </c>
      <c r="E106" s="264">
        <f t="shared" si="15"/>
        <v>336</v>
      </c>
      <c r="F106" s="264">
        <f t="shared" si="15"/>
        <v>27.52</v>
      </c>
      <c r="G106" s="264">
        <f t="shared" si="15"/>
        <v>3.44</v>
      </c>
      <c r="K106" s="196">
        <f t="shared" si="11"/>
        <v>2</v>
      </c>
      <c r="L106" s="196">
        <f t="shared" si="12"/>
        <v>0.8</v>
      </c>
    </row>
    <row r="107" spans="1:18" x14ac:dyDescent="0.25">
      <c r="A107" s="196">
        <f t="shared" si="8"/>
        <v>4.166666666666667</v>
      </c>
      <c r="C107" s="268">
        <v>100</v>
      </c>
      <c r="D107" s="272">
        <f t="shared" si="14"/>
        <v>37076.192908840727</v>
      </c>
      <c r="E107" s="264">
        <f t="shared" si="15"/>
        <v>336</v>
      </c>
      <c r="F107" s="264">
        <f t="shared" si="15"/>
        <v>27.52</v>
      </c>
      <c r="G107" s="264">
        <f t="shared" si="15"/>
        <v>3.44</v>
      </c>
      <c r="K107" s="196">
        <f t="shared" si="11"/>
        <v>2</v>
      </c>
      <c r="L107" s="196">
        <f t="shared" si="12"/>
        <v>0.8</v>
      </c>
    </row>
    <row r="108" spans="1:18" x14ac:dyDescent="0.25">
      <c r="A108" s="196">
        <f t="shared" si="8"/>
        <v>4.208333333333333</v>
      </c>
      <c r="C108" s="268">
        <v>101</v>
      </c>
      <c r="D108" s="272">
        <f t="shared" si="14"/>
        <v>37721.56010887822</v>
      </c>
      <c r="E108" s="264">
        <f t="shared" si="15"/>
        <v>336</v>
      </c>
      <c r="F108" s="264">
        <f t="shared" si="15"/>
        <v>27.52</v>
      </c>
      <c r="G108" s="264">
        <f t="shared" si="15"/>
        <v>3.44</v>
      </c>
      <c r="K108" s="196">
        <f t="shared" si="11"/>
        <v>2</v>
      </c>
      <c r="L108" s="196">
        <f t="shared" si="12"/>
        <v>0.8</v>
      </c>
    </row>
    <row r="109" spans="1:18" x14ac:dyDescent="0.25">
      <c r="A109" s="196">
        <f t="shared" si="8"/>
        <v>4.25</v>
      </c>
      <c r="C109" s="268">
        <v>102</v>
      </c>
      <c r="D109" s="272">
        <f t="shared" si="14"/>
        <v>39922.514013304266</v>
      </c>
      <c r="E109" s="264">
        <f t="shared" si="15"/>
        <v>336</v>
      </c>
      <c r="F109" s="264">
        <f t="shared" si="15"/>
        <v>27.52</v>
      </c>
      <c r="G109" s="264">
        <f t="shared" si="15"/>
        <v>3.44</v>
      </c>
      <c r="K109" s="196">
        <f t="shared" si="11"/>
        <v>2</v>
      </c>
      <c r="L109" s="196">
        <f t="shared" si="12"/>
        <v>0.8</v>
      </c>
    </row>
    <row r="110" spans="1:18" x14ac:dyDescent="0.25">
      <c r="A110" s="196">
        <f t="shared" si="8"/>
        <v>4.291666666666667</v>
      </c>
      <c r="C110" s="268">
        <v>103</v>
      </c>
      <c r="D110" s="272">
        <f t="shared" si="14"/>
        <v>43317.499448119248</v>
      </c>
      <c r="E110" s="264">
        <f t="shared" si="15"/>
        <v>336</v>
      </c>
      <c r="F110" s="264">
        <f t="shared" si="15"/>
        <v>27.52</v>
      </c>
      <c r="G110" s="264">
        <f t="shared" si="15"/>
        <v>3.44</v>
      </c>
      <c r="K110" s="196">
        <f t="shared" si="11"/>
        <v>2</v>
      </c>
      <c r="L110" s="196">
        <f t="shared" si="12"/>
        <v>0.8</v>
      </c>
    </row>
    <row r="111" spans="1:18" x14ac:dyDescent="0.25">
      <c r="A111" s="196">
        <f t="shared" si="8"/>
        <v>4.333333333333333</v>
      </c>
      <c r="C111" s="268">
        <v>104</v>
      </c>
      <c r="D111" s="272">
        <f t="shared" si="14"/>
        <v>47291.147453659432</v>
      </c>
      <c r="E111" s="264">
        <f t="shared" si="15"/>
        <v>336</v>
      </c>
      <c r="F111" s="264">
        <f t="shared" si="15"/>
        <v>27.52</v>
      </c>
      <c r="G111" s="264">
        <f t="shared" si="15"/>
        <v>3.44</v>
      </c>
      <c r="K111" s="196">
        <f t="shared" si="11"/>
        <v>2</v>
      </c>
      <c r="L111" s="196">
        <f t="shared" si="12"/>
        <v>0.8</v>
      </c>
      <c r="R111" s="196"/>
    </row>
    <row r="112" spans="1:18" x14ac:dyDescent="0.25">
      <c r="A112" s="196">
        <f t="shared" si="8"/>
        <v>4.375</v>
      </c>
      <c r="C112" s="268">
        <v>105</v>
      </c>
      <c r="D112" s="272">
        <f t="shared" si="14"/>
        <v>51119.105843645186</v>
      </c>
      <c r="E112" s="264">
        <f t="shared" si="15"/>
        <v>336</v>
      </c>
      <c r="F112" s="264">
        <f t="shared" si="15"/>
        <v>27.52</v>
      </c>
      <c r="G112" s="264">
        <f t="shared" si="15"/>
        <v>3.44</v>
      </c>
      <c r="K112" s="196">
        <f t="shared" si="11"/>
        <v>2</v>
      </c>
      <c r="L112" s="196">
        <f t="shared" si="12"/>
        <v>0.8</v>
      </c>
      <c r="R112" s="196"/>
    </row>
    <row r="113" spans="1:12" x14ac:dyDescent="0.25">
      <c r="A113" s="196">
        <f t="shared" si="8"/>
        <v>4.416666666666667</v>
      </c>
      <c r="C113" s="268">
        <v>106</v>
      </c>
      <c r="D113" s="272">
        <f t="shared" si="14"/>
        <v>54138.932209531558</v>
      </c>
      <c r="E113" s="264">
        <f t="shared" si="15"/>
        <v>336</v>
      </c>
      <c r="F113" s="264">
        <f t="shared" si="15"/>
        <v>27.52</v>
      </c>
      <c r="G113" s="264">
        <f t="shared" si="15"/>
        <v>3.44</v>
      </c>
      <c r="K113" s="196">
        <f t="shared" si="11"/>
        <v>2</v>
      </c>
      <c r="L113" s="196">
        <f t="shared" si="12"/>
        <v>0.8</v>
      </c>
    </row>
    <row r="114" spans="1:12" x14ac:dyDescent="0.25">
      <c r="A114" s="196">
        <f t="shared" si="8"/>
        <v>4.458333333333333</v>
      </c>
      <c r="C114" s="268">
        <v>107</v>
      </c>
      <c r="D114" s="272">
        <f t="shared" si="14"/>
        <v>55902.839536177817</v>
      </c>
      <c r="E114" s="264">
        <f t="shared" si="15"/>
        <v>336</v>
      </c>
      <c r="F114" s="264">
        <f t="shared" si="15"/>
        <v>27.52</v>
      </c>
      <c r="G114" s="264">
        <f t="shared" si="15"/>
        <v>3.44</v>
      </c>
      <c r="K114" s="196">
        <f t="shared" si="11"/>
        <v>2</v>
      </c>
      <c r="L114" s="196">
        <f t="shared" si="12"/>
        <v>0.8</v>
      </c>
    </row>
    <row r="115" spans="1:12" x14ac:dyDescent="0.25">
      <c r="A115" s="196">
        <f t="shared" si="8"/>
        <v>4.5</v>
      </c>
      <c r="C115" s="268">
        <v>108</v>
      </c>
      <c r="D115" s="272">
        <f t="shared" si="14"/>
        <v>56273.053396759758</v>
      </c>
      <c r="E115" s="264">
        <f t="shared" si="15"/>
        <v>336</v>
      </c>
      <c r="F115" s="264">
        <f t="shared" si="15"/>
        <v>27.52</v>
      </c>
      <c r="G115" s="264">
        <f t="shared" si="15"/>
        <v>3.44</v>
      </c>
      <c r="K115" s="196">
        <f t="shared" si="11"/>
        <v>2</v>
      </c>
      <c r="L115" s="196">
        <f t="shared" si="12"/>
        <v>0.8</v>
      </c>
    </row>
    <row r="116" spans="1:12" x14ac:dyDescent="0.25">
      <c r="A116" s="196">
        <f t="shared" si="8"/>
        <v>4.541666666666667</v>
      </c>
      <c r="C116" s="268">
        <v>109</v>
      </c>
      <c r="D116" s="272">
        <f t="shared" si="14"/>
        <v>55435.90813114732</v>
      </c>
      <c r="E116" s="264">
        <f t="shared" si="15"/>
        <v>336</v>
      </c>
      <c r="F116" s="264">
        <f t="shared" si="15"/>
        <v>27.52</v>
      </c>
      <c r="G116" s="264">
        <f t="shared" si="15"/>
        <v>3.44</v>
      </c>
      <c r="K116" s="196">
        <f t="shared" si="11"/>
        <v>2</v>
      </c>
      <c r="L116" s="196">
        <f t="shared" si="12"/>
        <v>0.8</v>
      </c>
    </row>
    <row r="117" spans="1:12" x14ac:dyDescent="0.25">
      <c r="A117" s="196">
        <f t="shared" si="8"/>
        <v>4.583333333333333</v>
      </c>
      <c r="C117" s="268">
        <v>110</v>
      </c>
      <c r="D117" s="272">
        <f t="shared" si="14"/>
        <v>53832.460118503863</v>
      </c>
      <c r="E117" s="264">
        <f t="shared" si="15"/>
        <v>336</v>
      </c>
      <c r="F117" s="264">
        <f t="shared" si="15"/>
        <v>27.52</v>
      </c>
      <c r="G117" s="264">
        <f t="shared" si="15"/>
        <v>3.44</v>
      </c>
      <c r="K117" s="196">
        <f t="shared" si="11"/>
        <v>2</v>
      </c>
      <c r="L117" s="196">
        <f t="shared" si="12"/>
        <v>0.8</v>
      </c>
    </row>
    <row r="118" spans="1:12" x14ac:dyDescent="0.25">
      <c r="A118" s="196">
        <f t="shared" si="8"/>
        <v>4.625</v>
      </c>
      <c r="C118" s="268">
        <v>111</v>
      </c>
      <c r="D118" s="272">
        <f t="shared" si="14"/>
        <v>52025.536332533731</v>
      </c>
      <c r="E118" s="264">
        <f t="shared" si="15"/>
        <v>336</v>
      </c>
      <c r="F118" s="264">
        <f t="shared" si="15"/>
        <v>27.52</v>
      </c>
      <c r="G118" s="264">
        <f t="shared" si="15"/>
        <v>3.44</v>
      </c>
      <c r="K118" s="196">
        <f t="shared" si="11"/>
        <v>2</v>
      </c>
      <c r="L118" s="196">
        <f t="shared" si="12"/>
        <v>0.8</v>
      </c>
    </row>
    <row r="119" spans="1:12" x14ac:dyDescent="0.25">
      <c r="A119" s="196">
        <f t="shared" si="8"/>
        <v>4.666666666666667</v>
      </c>
      <c r="C119" s="268">
        <v>112</v>
      </c>
      <c r="D119" s="272">
        <f t="shared" si="14"/>
        <v>50539.849013435858</v>
      </c>
      <c r="E119" s="264">
        <f t="shared" si="15"/>
        <v>336</v>
      </c>
      <c r="F119" s="264">
        <f t="shared" si="15"/>
        <v>27.52</v>
      </c>
      <c r="G119" s="264">
        <f t="shared" si="15"/>
        <v>3.44</v>
      </c>
      <c r="K119" s="196">
        <f t="shared" si="11"/>
        <v>2</v>
      </c>
      <c r="L119" s="196">
        <f t="shared" si="12"/>
        <v>0.8</v>
      </c>
    </row>
    <row r="120" spans="1:12" x14ac:dyDescent="0.25">
      <c r="A120" s="196">
        <f t="shared" si="8"/>
        <v>4.708333333333333</v>
      </c>
      <c r="C120" s="268">
        <v>113</v>
      </c>
      <c r="D120" s="272">
        <f t="shared" si="14"/>
        <v>49718.636135596964</v>
      </c>
      <c r="E120" s="264">
        <f t="shared" si="15"/>
        <v>336</v>
      </c>
      <c r="F120" s="264">
        <f t="shared" si="15"/>
        <v>27.52</v>
      </c>
      <c r="G120" s="264">
        <f t="shared" si="15"/>
        <v>3.44</v>
      </c>
      <c r="K120" s="196">
        <f t="shared" si="11"/>
        <v>2</v>
      </c>
      <c r="L120" s="196">
        <f t="shared" si="12"/>
        <v>0.8</v>
      </c>
    </row>
    <row r="121" spans="1:12" x14ac:dyDescent="0.25">
      <c r="A121" s="196">
        <f t="shared" si="8"/>
        <v>4.75</v>
      </c>
      <c r="C121" s="268">
        <v>114</v>
      </c>
      <c r="D121" s="272">
        <f t="shared" si="14"/>
        <v>49635.429057031273</v>
      </c>
      <c r="E121" s="264">
        <f t="shared" si="15"/>
        <v>336</v>
      </c>
      <c r="F121" s="264">
        <f t="shared" si="15"/>
        <v>27.52</v>
      </c>
      <c r="G121" s="264">
        <f t="shared" si="15"/>
        <v>3.44</v>
      </c>
      <c r="K121" s="196">
        <f t="shared" si="11"/>
        <v>2</v>
      </c>
      <c r="L121" s="196">
        <f t="shared" si="12"/>
        <v>0.8</v>
      </c>
    </row>
    <row r="122" spans="1:12" x14ac:dyDescent="0.25">
      <c r="A122" s="196">
        <f t="shared" si="8"/>
        <v>4.791666666666667</v>
      </c>
      <c r="C122" s="268">
        <v>115</v>
      </c>
      <c r="D122" s="272">
        <f t="shared" si="14"/>
        <v>50084.33439997556</v>
      </c>
      <c r="E122" s="264">
        <f t="shared" si="15"/>
        <v>336</v>
      </c>
      <c r="F122" s="264">
        <f t="shared" si="15"/>
        <v>27.52</v>
      </c>
      <c r="G122" s="264">
        <f t="shared" si="15"/>
        <v>3.44</v>
      </c>
      <c r="K122" s="196">
        <f t="shared" si="11"/>
        <v>2</v>
      </c>
      <c r="L122" s="196">
        <f t="shared" si="12"/>
        <v>0.8</v>
      </c>
    </row>
    <row r="123" spans="1:12" x14ac:dyDescent="0.25">
      <c r="A123" s="196">
        <f t="shared" si="8"/>
        <v>4.833333333333333</v>
      </c>
      <c r="C123" s="268">
        <v>116</v>
      </c>
      <c r="D123" s="272">
        <f t="shared" si="14"/>
        <v>50650.753694399522</v>
      </c>
      <c r="E123" s="264">
        <f t="shared" si="15"/>
        <v>336</v>
      </c>
      <c r="F123" s="264">
        <f t="shared" si="15"/>
        <v>27.52</v>
      </c>
      <c r="G123" s="264">
        <f t="shared" si="15"/>
        <v>3.44</v>
      </c>
      <c r="K123" s="196">
        <f t="shared" si="11"/>
        <v>2</v>
      </c>
      <c r="L123" s="196">
        <f t="shared" si="12"/>
        <v>0.8</v>
      </c>
    </row>
    <row r="124" spans="1:12" x14ac:dyDescent="0.25">
      <c r="A124" s="196">
        <f t="shared" si="8"/>
        <v>4.875</v>
      </c>
      <c r="C124" s="268">
        <v>117</v>
      </c>
      <c r="D124" s="272">
        <f t="shared" si="14"/>
        <v>50842.531759974423</v>
      </c>
      <c r="E124" s="264">
        <f t="shared" si="15"/>
        <v>336</v>
      </c>
      <c r="F124" s="264">
        <f t="shared" si="15"/>
        <v>27.52</v>
      </c>
      <c r="G124" s="264">
        <f t="shared" si="15"/>
        <v>3.44</v>
      </c>
      <c r="K124" s="196">
        <f t="shared" si="11"/>
        <v>2</v>
      </c>
      <c r="L124" s="196">
        <f t="shared" si="12"/>
        <v>0.8</v>
      </c>
    </row>
    <row r="125" spans="1:12" x14ac:dyDescent="0.25">
      <c r="A125" s="196">
        <f t="shared" si="8"/>
        <v>4.916666666666667</v>
      </c>
      <c r="C125" s="268">
        <v>118</v>
      </c>
      <c r="D125" s="272">
        <f t="shared" si="14"/>
        <v>50245.02586819182</v>
      </c>
      <c r="E125" s="264">
        <f t="shared" si="15"/>
        <v>336</v>
      </c>
      <c r="F125" s="264">
        <f t="shared" si="15"/>
        <v>27.52</v>
      </c>
      <c r="G125" s="264">
        <f t="shared" si="15"/>
        <v>3.44</v>
      </c>
      <c r="K125" s="196">
        <f t="shared" si="11"/>
        <v>2</v>
      </c>
      <c r="L125" s="196">
        <f t="shared" si="12"/>
        <v>0.8</v>
      </c>
    </row>
    <row r="126" spans="1:12" x14ac:dyDescent="0.25">
      <c r="A126" s="196">
        <f t="shared" si="8"/>
        <v>4.958333333333333</v>
      </c>
      <c r="C126" s="268">
        <v>119</v>
      </c>
      <c r="D126" s="272">
        <f t="shared" si="14"/>
        <v>48656.964219346941</v>
      </c>
      <c r="E126" s="264">
        <f t="shared" si="15"/>
        <v>336</v>
      </c>
      <c r="F126" s="264">
        <f t="shared" si="15"/>
        <v>27.52</v>
      </c>
      <c r="G126" s="264">
        <f t="shared" si="15"/>
        <v>3.44</v>
      </c>
      <c r="K126" s="196">
        <f t="shared" si="11"/>
        <v>2</v>
      </c>
      <c r="L126" s="196">
        <f t="shared" si="12"/>
        <v>0.8</v>
      </c>
    </row>
    <row r="127" spans="1:12" x14ac:dyDescent="0.25">
      <c r="A127" s="196">
        <f t="shared" si="8"/>
        <v>5</v>
      </c>
      <c r="C127" s="268">
        <v>120</v>
      </c>
      <c r="D127" s="272">
        <f t="shared" si="14"/>
        <v>46169.003532904724</v>
      </c>
      <c r="E127" s="264">
        <f t="shared" si="15"/>
        <v>336</v>
      </c>
      <c r="F127" s="264">
        <f t="shared" si="15"/>
        <v>27.52</v>
      </c>
      <c r="G127" s="264">
        <f t="shared" si="15"/>
        <v>3.44</v>
      </c>
      <c r="K127" s="196">
        <f t="shared" si="11"/>
        <v>2</v>
      </c>
      <c r="L127" s="196">
        <f t="shared" si="12"/>
        <v>0.8</v>
      </c>
    </row>
    <row r="128" spans="1:12" x14ac:dyDescent="0.25">
      <c r="A128" s="196">
        <f t="shared" si="8"/>
        <v>5.041666666666667</v>
      </c>
      <c r="C128" s="268">
        <v>121</v>
      </c>
      <c r="D128" s="272">
        <f t="shared" si="14"/>
        <v>43162.258020757879</v>
      </c>
      <c r="E128" s="264">
        <f t="shared" si="15"/>
        <v>336</v>
      </c>
      <c r="F128" s="264">
        <f t="shared" si="15"/>
        <v>27.52</v>
      </c>
      <c r="G128" s="264">
        <f t="shared" si="15"/>
        <v>3.44</v>
      </c>
      <c r="K128" s="196">
        <f t="shared" si="11"/>
        <v>2</v>
      </c>
      <c r="L128" s="196">
        <f t="shared" si="12"/>
        <v>0.8</v>
      </c>
    </row>
    <row r="129" spans="1:12" x14ac:dyDescent="0.25">
      <c r="A129" s="196">
        <f t="shared" si="8"/>
        <v>5.083333333333333</v>
      </c>
      <c r="C129" s="268">
        <v>122</v>
      </c>
      <c r="D129" s="272">
        <f t="shared" si="14"/>
        <v>40225.638733437205</v>
      </c>
      <c r="E129" s="264">
        <f t="shared" si="15"/>
        <v>336</v>
      </c>
      <c r="F129" s="264">
        <f t="shared" si="15"/>
        <v>27.52</v>
      </c>
      <c r="G129" s="264">
        <f t="shared" si="15"/>
        <v>3.44</v>
      </c>
      <c r="K129" s="196">
        <f t="shared" si="11"/>
        <v>2</v>
      </c>
      <c r="L129" s="196">
        <f t="shared" si="12"/>
        <v>0.8</v>
      </c>
    </row>
    <row r="130" spans="1:12" x14ac:dyDescent="0.25">
      <c r="A130" s="196">
        <f t="shared" si="8"/>
        <v>5.125</v>
      </c>
      <c r="C130" s="268">
        <v>123</v>
      </c>
      <c r="D130" s="272">
        <f t="shared" si="14"/>
        <v>38012.826063846645</v>
      </c>
      <c r="E130" s="264">
        <f t="shared" si="15"/>
        <v>336</v>
      </c>
      <c r="F130" s="264">
        <f t="shared" si="15"/>
        <v>27.52</v>
      </c>
      <c r="G130" s="264">
        <f t="shared" si="15"/>
        <v>3.44</v>
      </c>
      <c r="K130" s="196">
        <f t="shared" si="11"/>
        <v>2</v>
      </c>
      <c r="L130" s="196">
        <f t="shared" si="12"/>
        <v>0.8</v>
      </c>
    </row>
    <row r="131" spans="1:12" x14ac:dyDescent="0.25">
      <c r="A131" s="196">
        <f t="shared" si="8"/>
        <v>5.166666666666667</v>
      </c>
      <c r="C131" s="268">
        <v>124</v>
      </c>
      <c r="D131" s="272">
        <f t="shared" si="14"/>
        <v>37076.192908840727</v>
      </c>
      <c r="E131" s="264">
        <f t="shared" si="15"/>
        <v>336</v>
      </c>
      <c r="F131" s="264">
        <f t="shared" si="15"/>
        <v>27.52</v>
      </c>
      <c r="G131" s="264">
        <f t="shared" si="15"/>
        <v>3.44</v>
      </c>
      <c r="K131" s="196">
        <f t="shared" si="11"/>
        <v>2</v>
      </c>
      <c r="L131" s="196">
        <f t="shared" si="12"/>
        <v>0.8</v>
      </c>
    </row>
    <row r="132" spans="1:12" x14ac:dyDescent="0.25">
      <c r="A132" s="196">
        <f t="shared" si="8"/>
        <v>5.208333333333333</v>
      </c>
      <c r="C132" s="268">
        <v>125</v>
      </c>
      <c r="D132" s="272">
        <f t="shared" si="14"/>
        <v>37721.56010887822</v>
      </c>
      <c r="E132" s="264">
        <f t="shared" si="15"/>
        <v>336</v>
      </c>
      <c r="F132" s="264">
        <f t="shared" si="15"/>
        <v>27.52</v>
      </c>
      <c r="G132" s="264">
        <f t="shared" si="15"/>
        <v>3.44</v>
      </c>
      <c r="K132" s="196">
        <f t="shared" si="11"/>
        <v>2</v>
      </c>
      <c r="L132" s="196">
        <f t="shared" si="12"/>
        <v>0.8</v>
      </c>
    </row>
    <row r="133" spans="1:12" x14ac:dyDescent="0.25">
      <c r="A133" s="196">
        <f t="shared" si="8"/>
        <v>5.25</v>
      </c>
      <c r="C133" s="268">
        <v>126</v>
      </c>
      <c r="D133" s="272">
        <f t="shared" si="14"/>
        <v>39922.514013304266</v>
      </c>
      <c r="E133" s="264">
        <f t="shared" si="15"/>
        <v>336</v>
      </c>
      <c r="F133" s="264">
        <f t="shared" si="15"/>
        <v>27.52</v>
      </c>
      <c r="G133" s="264">
        <f t="shared" si="15"/>
        <v>3.44</v>
      </c>
      <c r="K133" s="196">
        <f t="shared" si="11"/>
        <v>2</v>
      </c>
      <c r="L133" s="196">
        <f t="shared" si="12"/>
        <v>0.8</v>
      </c>
    </row>
    <row r="134" spans="1:12" x14ac:dyDescent="0.25">
      <c r="A134" s="196">
        <f t="shared" si="8"/>
        <v>5.291666666666667</v>
      </c>
      <c r="C134" s="268">
        <v>127</v>
      </c>
      <c r="D134" s="272">
        <f t="shared" si="14"/>
        <v>43317.499448119248</v>
      </c>
      <c r="E134" s="264">
        <f t="shared" si="15"/>
        <v>336</v>
      </c>
      <c r="F134" s="264">
        <f t="shared" si="15"/>
        <v>27.52</v>
      </c>
      <c r="G134" s="264">
        <f t="shared" si="15"/>
        <v>3.44</v>
      </c>
      <c r="K134" s="196">
        <f t="shared" si="11"/>
        <v>2</v>
      </c>
      <c r="L134" s="196">
        <f t="shared" si="12"/>
        <v>0.8</v>
      </c>
    </row>
    <row r="135" spans="1:12" x14ac:dyDescent="0.25">
      <c r="A135" s="196">
        <f t="shared" si="8"/>
        <v>5.333333333333333</v>
      </c>
      <c r="C135" s="268">
        <v>128</v>
      </c>
      <c r="D135" s="272">
        <f t="shared" si="14"/>
        <v>47291.147453659432</v>
      </c>
      <c r="E135" s="264">
        <f t="shared" si="15"/>
        <v>336</v>
      </c>
      <c r="F135" s="264">
        <f t="shared" si="15"/>
        <v>27.52</v>
      </c>
      <c r="G135" s="264">
        <f t="shared" si="15"/>
        <v>3.44</v>
      </c>
      <c r="K135" s="196">
        <f t="shared" si="11"/>
        <v>2</v>
      </c>
      <c r="L135" s="196">
        <f t="shared" si="12"/>
        <v>0.8</v>
      </c>
    </row>
    <row r="136" spans="1:12" x14ac:dyDescent="0.25">
      <c r="A136" s="196">
        <f t="shared" ref="A136:A199" si="16">C136/24</f>
        <v>5.375</v>
      </c>
      <c r="C136" s="268">
        <v>129</v>
      </c>
      <c r="D136" s="272">
        <f t="shared" si="14"/>
        <v>51119.105843645186</v>
      </c>
      <c r="E136" s="264">
        <f t="shared" si="15"/>
        <v>336</v>
      </c>
      <c r="F136" s="264">
        <f t="shared" si="15"/>
        <v>27.52</v>
      </c>
      <c r="G136" s="264">
        <f t="shared" si="15"/>
        <v>3.44</v>
      </c>
      <c r="K136" s="196">
        <f t="shared" si="11"/>
        <v>2</v>
      </c>
      <c r="L136" s="196">
        <f t="shared" si="12"/>
        <v>0.8</v>
      </c>
    </row>
    <row r="137" spans="1:12" x14ac:dyDescent="0.25">
      <c r="A137" s="196">
        <f t="shared" si="16"/>
        <v>5.416666666666667</v>
      </c>
      <c r="C137" s="268">
        <v>130</v>
      </c>
      <c r="D137" s="272">
        <f t="shared" si="14"/>
        <v>54138.932209531558</v>
      </c>
      <c r="E137" s="264">
        <f t="shared" si="15"/>
        <v>336</v>
      </c>
      <c r="F137" s="264">
        <f t="shared" si="15"/>
        <v>27.52</v>
      </c>
      <c r="G137" s="264">
        <f t="shared" si="15"/>
        <v>3.44</v>
      </c>
      <c r="K137" s="196">
        <f t="shared" si="11"/>
        <v>2</v>
      </c>
      <c r="L137" s="196">
        <f t="shared" si="12"/>
        <v>0.8</v>
      </c>
    </row>
    <row r="138" spans="1:12" x14ac:dyDescent="0.25">
      <c r="A138" s="196">
        <f t="shared" si="16"/>
        <v>5.458333333333333</v>
      </c>
      <c r="C138" s="268">
        <v>131</v>
      </c>
      <c r="D138" s="272">
        <f t="shared" si="14"/>
        <v>55902.839536177817</v>
      </c>
      <c r="E138" s="264">
        <f t="shared" si="15"/>
        <v>336</v>
      </c>
      <c r="F138" s="264">
        <f t="shared" si="15"/>
        <v>27.52</v>
      </c>
      <c r="G138" s="264">
        <f t="shared" si="15"/>
        <v>3.44</v>
      </c>
      <c r="K138" s="196">
        <f t="shared" si="11"/>
        <v>2</v>
      </c>
      <c r="L138" s="196">
        <f t="shared" si="12"/>
        <v>0.8</v>
      </c>
    </row>
    <row r="139" spans="1:12" x14ac:dyDescent="0.25">
      <c r="A139" s="196">
        <f t="shared" si="16"/>
        <v>5.5</v>
      </c>
      <c r="C139" s="268">
        <v>132</v>
      </c>
      <c r="D139" s="272">
        <f t="shared" si="14"/>
        <v>56273.053396759758</v>
      </c>
      <c r="E139" s="264">
        <f t="shared" si="15"/>
        <v>336</v>
      </c>
      <c r="F139" s="264">
        <f t="shared" si="15"/>
        <v>27.52</v>
      </c>
      <c r="G139" s="264">
        <f t="shared" si="15"/>
        <v>3.44</v>
      </c>
      <c r="K139" s="196">
        <f t="shared" si="11"/>
        <v>2</v>
      </c>
      <c r="L139" s="196">
        <f t="shared" si="12"/>
        <v>0.8</v>
      </c>
    </row>
    <row r="140" spans="1:12" x14ac:dyDescent="0.25">
      <c r="A140" s="196">
        <f t="shared" si="16"/>
        <v>5.541666666666667</v>
      </c>
      <c r="C140" s="268">
        <v>133</v>
      </c>
      <c r="D140" s="272">
        <f t="shared" si="14"/>
        <v>55435.90813114732</v>
      </c>
      <c r="E140" s="264">
        <f t="shared" si="15"/>
        <v>336</v>
      </c>
      <c r="F140" s="264">
        <f t="shared" si="15"/>
        <v>27.52</v>
      </c>
      <c r="G140" s="264">
        <f t="shared" si="15"/>
        <v>3.44</v>
      </c>
      <c r="K140" s="196">
        <f t="shared" si="11"/>
        <v>2</v>
      </c>
      <c r="L140" s="196">
        <f t="shared" si="12"/>
        <v>0.8</v>
      </c>
    </row>
    <row r="141" spans="1:12" x14ac:dyDescent="0.25">
      <c r="A141" s="196">
        <f t="shared" si="16"/>
        <v>5.583333333333333</v>
      </c>
      <c r="C141" s="268">
        <v>134</v>
      </c>
      <c r="D141" s="272">
        <f t="shared" si="14"/>
        <v>53832.460118503863</v>
      </c>
      <c r="E141" s="264">
        <f t="shared" si="15"/>
        <v>336</v>
      </c>
      <c r="F141" s="264">
        <f t="shared" si="15"/>
        <v>27.52</v>
      </c>
      <c r="G141" s="264">
        <f t="shared" si="15"/>
        <v>3.44</v>
      </c>
      <c r="K141" s="196">
        <f t="shared" si="11"/>
        <v>2</v>
      </c>
      <c r="L141" s="196">
        <f t="shared" si="12"/>
        <v>0.8</v>
      </c>
    </row>
    <row r="142" spans="1:12" x14ac:dyDescent="0.25">
      <c r="A142" s="196">
        <f t="shared" si="16"/>
        <v>5.625</v>
      </c>
      <c r="C142" s="268">
        <v>135</v>
      </c>
      <c r="D142" s="272">
        <f t="shared" si="14"/>
        <v>52025.536332533731</v>
      </c>
      <c r="E142" s="264">
        <f t="shared" si="15"/>
        <v>336</v>
      </c>
      <c r="F142" s="264">
        <f t="shared" si="15"/>
        <v>27.52</v>
      </c>
      <c r="G142" s="264">
        <f t="shared" si="15"/>
        <v>3.44</v>
      </c>
      <c r="K142" s="196">
        <f t="shared" si="11"/>
        <v>2</v>
      </c>
      <c r="L142" s="196">
        <f t="shared" si="12"/>
        <v>0.8</v>
      </c>
    </row>
    <row r="143" spans="1:12" x14ac:dyDescent="0.25">
      <c r="A143" s="196">
        <f t="shared" si="16"/>
        <v>5.666666666666667</v>
      </c>
      <c r="C143" s="268">
        <v>136</v>
      </c>
      <c r="D143" s="272">
        <f t="shared" si="14"/>
        <v>50539.849013435858</v>
      </c>
      <c r="E143" s="264">
        <f t="shared" si="15"/>
        <v>336</v>
      </c>
      <c r="F143" s="264">
        <f t="shared" si="15"/>
        <v>27.52</v>
      </c>
      <c r="G143" s="264">
        <f t="shared" si="15"/>
        <v>3.44</v>
      </c>
      <c r="K143" s="196">
        <f t="shared" si="11"/>
        <v>2</v>
      </c>
      <c r="L143" s="196">
        <f t="shared" si="12"/>
        <v>0.8</v>
      </c>
    </row>
    <row r="144" spans="1:12" x14ac:dyDescent="0.25">
      <c r="A144" s="196">
        <f t="shared" si="16"/>
        <v>5.708333333333333</v>
      </c>
      <c r="C144" s="268">
        <v>137</v>
      </c>
      <c r="D144" s="272">
        <f t="shared" si="14"/>
        <v>49718.636135596964</v>
      </c>
      <c r="E144" s="264">
        <f t="shared" si="15"/>
        <v>336</v>
      </c>
      <c r="F144" s="264">
        <f t="shared" si="15"/>
        <v>27.52</v>
      </c>
      <c r="G144" s="264">
        <f t="shared" si="15"/>
        <v>3.44</v>
      </c>
      <c r="K144" s="196">
        <f t="shared" ref="K144:K174" si="17">$T$9</f>
        <v>2</v>
      </c>
      <c r="L144" s="196">
        <f t="shared" ref="L144:L174" si="18">$U$9</f>
        <v>0.8</v>
      </c>
    </row>
    <row r="145" spans="1:12" x14ac:dyDescent="0.25">
      <c r="A145" s="196">
        <f t="shared" si="16"/>
        <v>5.75</v>
      </c>
      <c r="C145" s="268">
        <v>138</v>
      </c>
      <c r="D145" s="272">
        <f t="shared" si="14"/>
        <v>49635.429057031273</v>
      </c>
      <c r="E145" s="264">
        <f t="shared" si="15"/>
        <v>336</v>
      </c>
      <c r="F145" s="264">
        <f t="shared" si="15"/>
        <v>27.52</v>
      </c>
      <c r="G145" s="264">
        <f t="shared" si="15"/>
        <v>3.44</v>
      </c>
      <c r="K145" s="196">
        <f t="shared" si="17"/>
        <v>2</v>
      </c>
      <c r="L145" s="196">
        <f t="shared" si="18"/>
        <v>0.8</v>
      </c>
    </row>
    <row r="146" spans="1:12" x14ac:dyDescent="0.25">
      <c r="A146" s="196">
        <f t="shared" si="16"/>
        <v>5.791666666666667</v>
      </c>
      <c r="C146" s="268">
        <v>139</v>
      </c>
      <c r="D146" s="272">
        <f t="shared" si="14"/>
        <v>50084.33439997556</v>
      </c>
      <c r="E146" s="264">
        <f t="shared" si="15"/>
        <v>336</v>
      </c>
      <c r="F146" s="264">
        <f t="shared" si="15"/>
        <v>27.52</v>
      </c>
      <c r="G146" s="264">
        <f t="shared" si="15"/>
        <v>3.44</v>
      </c>
      <c r="K146" s="196">
        <f t="shared" si="17"/>
        <v>2</v>
      </c>
      <c r="L146" s="196">
        <f t="shared" si="18"/>
        <v>0.8</v>
      </c>
    </row>
    <row r="147" spans="1:12" x14ac:dyDescent="0.25">
      <c r="A147" s="196">
        <f t="shared" si="16"/>
        <v>5.833333333333333</v>
      </c>
      <c r="C147" s="268">
        <v>140</v>
      </c>
      <c r="D147" s="272">
        <f t="shared" si="14"/>
        <v>50650.753694399522</v>
      </c>
      <c r="E147" s="264">
        <f t="shared" si="15"/>
        <v>336</v>
      </c>
      <c r="F147" s="264">
        <f t="shared" si="15"/>
        <v>27.52</v>
      </c>
      <c r="G147" s="264">
        <f t="shared" si="15"/>
        <v>3.44</v>
      </c>
      <c r="K147" s="196">
        <f t="shared" si="17"/>
        <v>2</v>
      </c>
      <c r="L147" s="196">
        <f t="shared" si="18"/>
        <v>0.8</v>
      </c>
    </row>
    <row r="148" spans="1:12" x14ac:dyDescent="0.25">
      <c r="A148" s="196">
        <f t="shared" si="16"/>
        <v>5.875</v>
      </c>
      <c r="C148" s="268">
        <v>141</v>
      </c>
      <c r="D148" s="272">
        <f t="shared" si="14"/>
        <v>50842.531759974423</v>
      </c>
      <c r="E148" s="264">
        <f t="shared" si="15"/>
        <v>336</v>
      </c>
      <c r="F148" s="264">
        <f t="shared" si="15"/>
        <v>27.52</v>
      </c>
      <c r="G148" s="264">
        <f t="shared" si="15"/>
        <v>3.44</v>
      </c>
      <c r="K148" s="196">
        <f t="shared" si="17"/>
        <v>2</v>
      </c>
      <c r="L148" s="196">
        <f t="shared" si="18"/>
        <v>0.8</v>
      </c>
    </row>
    <row r="149" spans="1:12" x14ac:dyDescent="0.25">
      <c r="A149" s="196">
        <f t="shared" si="16"/>
        <v>5.916666666666667</v>
      </c>
      <c r="C149" s="268">
        <v>142</v>
      </c>
      <c r="D149" s="272">
        <f t="shared" si="14"/>
        <v>50245.02586819182</v>
      </c>
      <c r="E149" s="264">
        <f t="shared" si="15"/>
        <v>336</v>
      </c>
      <c r="F149" s="264">
        <f t="shared" si="15"/>
        <v>27.52</v>
      </c>
      <c r="G149" s="264">
        <f t="shared" si="15"/>
        <v>3.44</v>
      </c>
      <c r="K149" s="196">
        <f t="shared" si="17"/>
        <v>2</v>
      </c>
      <c r="L149" s="196">
        <f t="shared" si="18"/>
        <v>0.8</v>
      </c>
    </row>
    <row r="150" spans="1:12" x14ac:dyDescent="0.25">
      <c r="A150" s="196">
        <f t="shared" si="16"/>
        <v>5.958333333333333</v>
      </c>
      <c r="C150" s="268">
        <v>143</v>
      </c>
      <c r="D150" s="272">
        <f t="shared" si="14"/>
        <v>48656.964219346941</v>
      </c>
      <c r="E150" s="264">
        <f t="shared" si="15"/>
        <v>336</v>
      </c>
      <c r="F150" s="264">
        <f t="shared" si="15"/>
        <v>27.52</v>
      </c>
      <c r="G150" s="264">
        <f t="shared" si="15"/>
        <v>3.44</v>
      </c>
      <c r="K150" s="196">
        <f t="shared" si="17"/>
        <v>2</v>
      </c>
      <c r="L150" s="196">
        <f t="shared" si="18"/>
        <v>0.8</v>
      </c>
    </row>
    <row r="151" spans="1:12" x14ac:dyDescent="0.25">
      <c r="A151" s="196">
        <f t="shared" si="16"/>
        <v>6</v>
      </c>
      <c r="C151" s="268">
        <v>144</v>
      </c>
      <c r="D151" s="272">
        <f t="shared" si="14"/>
        <v>46169.003532904724</v>
      </c>
      <c r="E151" s="264">
        <f t="shared" si="15"/>
        <v>336</v>
      </c>
      <c r="F151" s="264">
        <f t="shared" si="15"/>
        <v>27.52</v>
      </c>
      <c r="G151" s="264">
        <f t="shared" si="15"/>
        <v>3.44</v>
      </c>
      <c r="K151" s="196">
        <f t="shared" si="17"/>
        <v>2</v>
      </c>
      <c r="L151" s="196">
        <f t="shared" si="18"/>
        <v>0.8</v>
      </c>
    </row>
    <row r="152" spans="1:12" x14ac:dyDescent="0.25">
      <c r="A152" s="196">
        <f t="shared" si="16"/>
        <v>6.041666666666667</v>
      </c>
      <c r="C152" s="268">
        <v>145</v>
      </c>
      <c r="D152" s="272">
        <f t="shared" si="14"/>
        <v>43162.258020757879</v>
      </c>
      <c r="E152" s="264">
        <f t="shared" si="15"/>
        <v>336</v>
      </c>
      <c r="F152" s="264">
        <f t="shared" si="15"/>
        <v>27.52</v>
      </c>
      <c r="G152" s="264">
        <f t="shared" si="15"/>
        <v>3.44</v>
      </c>
      <c r="K152" s="196">
        <f t="shared" si="17"/>
        <v>2</v>
      </c>
      <c r="L152" s="196">
        <f t="shared" si="18"/>
        <v>0.8</v>
      </c>
    </row>
    <row r="153" spans="1:12" x14ac:dyDescent="0.25">
      <c r="A153" s="196">
        <f t="shared" si="16"/>
        <v>6.083333333333333</v>
      </c>
      <c r="C153" s="268">
        <v>146</v>
      </c>
      <c r="D153" s="272">
        <f t="shared" si="14"/>
        <v>40225.638733437205</v>
      </c>
      <c r="E153" s="264">
        <f t="shared" si="15"/>
        <v>336</v>
      </c>
      <c r="F153" s="264">
        <f t="shared" si="15"/>
        <v>27.52</v>
      </c>
      <c r="G153" s="264">
        <f t="shared" si="15"/>
        <v>3.44</v>
      </c>
      <c r="K153" s="196">
        <f t="shared" si="17"/>
        <v>2</v>
      </c>
      <c r="L153" s="196">
        <f t="shared" si="18"/>
        <v>0.8</v>
      </c>
    </row>
    <row r="154" spans="1:12" x14ac:dyDescent="0.25">
      <c r="A154" s="196">
        <f t="shared" si="16"/>
        <v>6.125</v>
      </c>
      <c r="C154" s="268">
        <v>147</v>
      </c>
      <c r="D154" s="272">
        <f t="shared" si="14"/>
        <v>38012.826063846645</v>
      </c>
      <c r="E154" s="264">
        <f t="shared" si="15"/>
        <v>336</v>
      </c>
      <c r="F154" s="264">
        <f t="shared" si="15"/>
        <v>27.52</v>
      </c>
      <c r="G154" s="264">
        <f t="shared" si="15"/>
        <v>3.44</v>
      </c>
      <c r="K154" s="196">
        <f t="shared" si="17"/>
        <v>2</v>
      </c>
      <c r="L154" s="196">
        <f t="shared" si="18"/>
        <v>0.8</v>
      </c>
    </row>
    <row r="155" spans="1:12" x14ac:dyDescent="0.25">
      <c r="A155" s="196">
        <f t="shared" si="16"/>
        <v>6.166666666666667</v>
      </c>
      <c r="C155" s="268">
        <v>148</v>
      </c>
      <c r="D155" s="272">
        <f t="shared" si="14"/>
        <v>37076.192908840727</v>
      </c>
      <c r="E155" s="264">
        <f t="shared" si="15"/>
        <v>336</v>
      </c>
      <c r="F155" s="264">
        <f t="shared" si="15"/>
        <v>27.52</v>
      </c>
      <c r="G155" s="264">
        <f t="shared" si="15"/>
        <v>3.44</v>
      </c>
      <c r="K155" s="196">
        <f t="shared" si="17"/>
        <v>2</v>
      </c>
      <c r="L155" s="196">
        <f t="shared" si="18"/>
        <v>0.8</v>
      </c>
    </row>
    <row r="156" spans="1:12" x14ac:dyDescent="0.25">
      <c r="A156" s="196">
        <f t="shared" si="16"/>
        <v>6.208333333333333</v>
      </c>
      <c r="C156" s="268">
        <v>149</v>
      </c>
      <c r="D156" s="272">
        <f t="shared" si="14"/>
        <v>37721.56010887822</v>
      </c>
      <c r="E156" s="264">
        <f t="shared" si="15"/>
        <v>336</v>
      </c>
      <c r="F156" s="264">
        <f t="shared" si="15"/>
        <v>27.52</v>
      </c>
      <c r="G156" s="264">
        <f t="shared" si="15"/>
        <v>3.44</v>
      </c>
      <c r="K156" s="196">
        <f t="shared" si="17"/>
        <v>2</v>
      </c>
      <c r="L156" s="196">
        <f t="shared" si="18"/>
        <v>0.8</v>
      </c>
    </row>
    <row r="157" spans="1:12" x14ac:dyDescent="0.25">
      <c r="A157" s="196">
        <f t="shared" si="16"/>
        <v>6.25</v>
      </c>
      <c r="C157" s="268">
        <v>150</v>
      </c>
      <c r="D157" s="272">
        <f t="shared" si="14"/>
        <v>39922.514013304266</v>
      </c>
      <c r="E157" s="264">
        <f t="shared" si="15"/>
        <v>336</v>
      </c>
      <c r="F157" s="264">
        <f t="shared" si="15"/>
        <v>27.52</v>
      </c>
      <c r="G157" s="264">
        <f t="shared" si="15"/>
        <v>3.44</v>
      </c>
      <c r="K157" s="196">
        <f t="shared" si="17"/>
        <v>2</v>
      </c>
      <c r="L157" s="196">
        <f t="shared" si="18"/>
        <v>0.8</v>
      </c>
    </row>
    <row r="158" spans="1:12" x14ac:dyDescent="0.25">
      <c r="A158" s="196">
        <f t="shared" si="16"/>
        <v>6.291666666666667</v>
      </c>
      <c r="C158" s="268">
        <v>151</v>
      </c>
      <c r="D158" s="272">
        <f t="shared" si="14"/>
        <v>43317.499448119248</v>
      </c>
      <c r="E158" s="264">
        <f t="shared" si="15"/>
        <v>336</v>
      </c>
      <c r="F158" s="264">
        <f t="shared" si="15"/>
        <v>27.52</v>
      </c>
      <c r="G158" s="264">
        <f t="shared" si="15"/>
        <v>3.44</v>
      </c>
      <c r="K158" s="196">
        <f t="shared" si="17"/>
        <v>2</v>
      </c>
      <c r="L158" s="196">
        <f t="shared" si="18"/>
        <v>0.8</v>
      </c>
    </row>
    <row r="159" spans="1:12" x14ac:dyDescent="0.25">
      <c r="A159" s="196">
        <f t="shared" si="16"/>
        <v>6.333333333333333</v>
      </c>
      <c r="C159" s="268">
        <v>152</v>
      </c>
      <c r="D159" s="272">
        <f t="shared" si="14"/>
        <v>47291.147453659432</v>
      </c>
      <c r="E159" s="264">
        <f t="shared" si="15"/>
        <v>336</v>
      </c>
      <c r="F159" s="264">
        <f t="shared" si="15"/>
        <v>27.52</v>
      </c>
      <c r="G159" s="264">
        <f t="shared" si="15"/>
        <v>3.44</v>
      </c>
      <c r="K159" s="196">
        <f t="shared" si="17"/>
        <v>2</v>
      </c>
      <c r="L159" s="196">
        <f t="shared" si="18"/>
        <v>0.8</v>
      </c>
    </row>
    <row r="160" spans="1:12" x14ac:dyDescent="0.25">
      <c r="A160" s="196">
        <f t="shared" si="16"/>
        <v>6.375</v>
      </c>
      <c r="C160" s="268">
        <v>153</v>
      </c>
      <c r="D160" s="272">
        <f t="shared" si="14"/>
        <v>51119.105843645186</v>
      </c>
      <c r="E160" s="264">
        <f t="shared" si="15"/>
        <v>336</v>
      </c>
      <c r="F160" s="264">
        <f t="shared" si="15"/>
        <v>27.52</v>
      </c>
      <c r="G160" s="264">
        <f t="shared" si="15"/>
        <v>3.44</v>
      </c>
      <c r="K160" s="196">
        <f t="shared" si="17"/>
        <v>2</v>
      </c>
      <c r="L160" s="196">
        <f t="shared" si="18"/>
        <v>0.8</v>
      </c>
    </row>
    <row r="161" spans="1:14" x14ac:dyDescent="0.25">
      <c r="A161" s="196">
        <f t="shared" si="16"/>
        <v>6.416666666666667</v>
      </c>
      <c r="C161" s="268">
        <v>154</v>
      </c>
      <c r="D161" s="272">
        <f t="shared" si="14"/>
        <v>54138.932209531558</v>
      </c>
      <c r="E161" s="264">
        <f t="shared" si="15"/>
        <v>336</v>
      </c>
      <c r="F161" s="264">
        <f t="shared" si="15"/>
        <v>27.52</v>
      </c>
      <c r="G161" s="264">
        <f t="shared" si="15"/>
        <v>3.44</v>
      </c>
      <c r="K161" s="196">
        <f t="shared" si="17"/>
        <v>2</v>
      </c>
      <c r="L161" s="196">
        <f t="shared" si="18"/>
        <v>0.8</v>
      </c>
    </row>
    <row r="162" spans="1:14" x14ac:dyDescent="0.25">
      <c r="A162" s="196">
        <f t="shared" si="16"/>
        <v>6.458333333333333</v>
      </c>
      <c r="C162" s="268">
        <v>155</v>
      </c>
      <c r="D162" s="272">
        <f t="shared" si="14"/>
        <v>55902.839536177817</v>
      </c>
      <c r="E162" s="264">
        <f t="shared" si="15"/>
        <v>336</v>
      </c>
      <c r="F162" s="264">
        <f t="shared" si="15"/>
        <v>27.52</v>
      </c>
      <c r="G162" s="264">
        <f t="shared" si="15"/>
        <v>3.44</v>
      </c>
      <c r="K162" s="196">
        <f t="shared" si="17"/>
        <v>2</v>
      </c>
      <c r="L162" s="196">
        <f t="shared" si="18"/>
        <v>0.8</v>
      </c>
    </row>
    <row r="163" spans="1:14" x14ac:dyDescent="0.25">
      <c r="A163" s="196">
        <f t="shared" si="16"/>
        <v>6.5</v>
      </c>
      <c r="C163" s="268">
        <v>156</v>
      </c>
      <c r="D163" s="272">
        <f t="shared" si="14"/>
        <v>56273.053396759758</v>
      </c>
      <c r="E163" s="264">
        <f t="shared" si="15"/>
        <v>336</v>
      </c>
      <c r="F163" s="264">
        <f t="shared" si="15"/>
        <v>27.52</v>
      </c>
      <c r="G163" s="264">
        <f t="shared" si="15"/>
        <v>3.44</v>
      </c>
      <c r="K163" s="196">
        <f t="shared" si="17"/>
        <v>2</v>
      </c>
      <c r="L163" s="196">
        <f t="shared" si="18"/>
        <v>0.8</v>
      </c>
    </row>
    <row r="164" spans="1:14" x14ac:dyDescent="0.25">
      <c r="A164" s="196">
        <f t="shared" si="16"/>
        <v>6.541666666666667</v>
      </c>
      <c r="C164" s="268">
        <v>157</v>
      </c>
      <c r="D164" s="272">
        <f t="shared" si="14"/>
        <v>55435.90813114732</v>
      </c>
      <c r="E164" s="264">
        <f t="shared" si="15"/>
        <v>336</v>
      </c>
      <c r="F164" s="264">
        <f t="shared" si="15"/>
        <v>27.52</v>
      </c>
      <c r="G164" s="264">
        <f t="shared" si="15"/>
        <v>3.44</v>
      </c>
      <c r="K164" s="196">
        <f t="shared" si="17"/>
        <v>2</v>
      </c>
      <c r="L164" s="196">
        <f t="shared" si="18"/>
        <v>0.8</v>
      </c>
    </row>
    <row r="165" spans="1:14" x14ac:dyDescent="0.25">
      <c r="A165" s="196">
        <f t="shared" si="16"/>
        <v>6.583333333333333</v>
      </c>
      <c r="C165" s="268">
        <v>158</v>
      </c>
      <c r="D165" s="272">
        <f t="shared" si="14"/>
        <v>53832.460118503863</v>
      </c>
      <c r="E165" s="264">
        <f t="shared" si="15"/>
        <v>336</v>
      </c>
      <c r="F165" s="264">
        <f t="shared" si="15"/>
        <v>27.52</v>
      </c>
      <c r="G165" s="264">
        <f t="shared" si="15"/>
        <v>3.44</v>
      </c>
      <c r="K165" s="196">
        <f t="shared" si="17"/>
        <v>2</v>
      </c>
      <c r="L165" s="196">
        <f t="shared" si="18"/>
        <v>0.8</v>
      </c>
    </row>
    <row r="166" spans="1:14" x14ac:dyDescent="0.25">
      <c r="A166" s="196">
        <f t="shared" si="16"/>
        <v>6.625</v>
      </c>
      <c r="C166" s="268">
        <v>159</v>
      </c>
      <c r="D166" s="272">
        <f t="shared" si="14"/>
        <v>52025.536332533731</v>
      </c>
      <c r="E166" s="264">
        <f t="shared" si="15"/>
        <v>336</v>
      </c>
      <c r="F166" s="264">
        <f t="shared" si="15"/>
        <v>27.52</v>
      </c>
      <c r="G166" s="264">
        <f t="shared" si="15"/>
        <v>3.44</v>
      </c>
      <c r="K166" s="196">
        <f t="shared" si="17"/>
        <v>2</v>
      </c>
      <c r="L166" s="196">
        <f t="shared" si="18"/>
        <v>0.8</v>
      </c>
    </row>
    <row r="167" spans="1:14" x14ac:dyDescent="0.25">
      <c r="A167" s="196">
        <f t="shared" si="16"/>
        <v>6.666666666666667</v>
      </c>
      <c r="C167" s="268">
        <v>160</v>
      </c>
      <c r="D167" s="272">
        <f t="shared" si="14"/>
        <v>50539.849013435858</v>
      </c>
      <c r="E167" s="264">
        <f t="shared" si="15"/>
        <v>336</v>
      </c>
      <c r="F167" s="264">
        <f t="shared" si="15"/>
        <v>27.52</v>
      </c>
      <c r="G167" s="264">
        <f t="shared" si="15"/>
        <v>3.44</v>
      </c>
      <c r="K167" s="196">
        <f t="shared" si="17"/>
        <v>2</v>
      </c>
      <c r="L167" s="196">
        <f t="shared" si="18"/>
        <v>0.8</v>
      </c>
    </row>
    <row r="168" spans="1:14" x14ac:dyDescent="0.25">
      <c r="A168" s="196">
        <f t="shared" si="16"/>
        <v>6.708333333333333</v>
      </c>
      <c r="C168" s="268">
        <v>161</v>
      </c>
      <c r="D168" s="272">
        <f t="shared" ref="D168:D174" si="19">D72*K168</f>
        <v>49718.636135596964</v>
      </c>
      <c r="E168" s="264">
        <f t="shared" ref="E168:G231" si="20">E$3*$L168</f>
        <v>336</v>
      </c>
      <c r="F168" s="264">
        <f t="shared" si="20"/>
        <v>27.52</v>
      </c>
      <c r="G168" s="264">
        <f t="shared" si="20"/>
        <v>3.44</v>
      </c>
      <c r="K168" s="196">
        <f t="shared" si="17"/>
        <v>2</v>
      </c>
      <c r="L168" s="196">
        <f t="shared" si="18"/>
        <v>0.8</v>
      </c>
    </row>
    <row r="169" spans="1:14" x14ac:dyDescent="0.25">
      <c r="A169" s="196">
        <f t="shared" si="16"/>
        <v>6.75</v>
      </c>
      <c r="C169" s="268">
        <v>162</v>
      </c>
      <c r="D169" s="272">
        <f t="shared" si="19"/>
        <v>49635.429057031273</v>
      </c>
      <c r="E169" s="264">
        <f t="shared" si="20"/>
        <v>336</v>
      </c>
      <c r="F169" s="264">
        <f t="shared" si="20"/>
        <v>27.52</v>
      </c>
      <c r="G169" s="264">
        <f t="shared" si="20"/>
        <v>3.44</v>
      </c>
      <c r="K169" s="196">
        <f t="shared" si="17"/>
        <v>2</v>
      </c>
      <c r="L169" s="196">
        <f t="shared" si="18"/>
        <v>0.8</v>
      </c>
    </row>
    <row r="170" spans="1:14" x14ac:dyDescent="0.25">
      <c r="A170" s="196">
        <f t="shared" si="16"/>
        <v>6.791666666666667</v>
      </c>
      <c r="C170" s="268">
        <v>163</v>
      </c>
      <c r="D170" s="272">
        <f t="shared" si="19"/>
        <v>50084.33439997556</v>
      </c>
      <c r="E170" s="264">
        <f t="shared" si="20"/>
        <v>336</v>
      </c>
      <c r="F170" s="264">
        <f t="shared" si="20"/>
        <v>27.52</v>
      </c>
      <c r="G170" s="264">
        <f t="shared" si="20"/>
        <v>3.44</v>
      </c>
      <c r="K170" s="196">
        <f t="shared" si="17"/>
        <v>2</v>
      </c>
      <c r="L170" s="196">
        <f t="shared" si="18"/>
        <v>0.8</v>
      </c>
    </row>
    <row r="171" spans="1:14" x14ac:dyDescent="0.25">
      <c r="A171" s="196">
        <f t="shared" si="16"/>
        <v>6.833333333333333</v>
      </c>
      <c r="C171" s="268">
        <v>164</v>
      </c>
      <c r="D171" s="272">
        <f t="shared" si="19"/>
        <v>50650.753694399522</v>
      </c>
      <c r="E171" s="264">
        <f t="shared" si="20"/>
        <v>336</v>
      </c>
      <c r="F171" s="264">
        <f t="shared" si="20"/>
        <v>27.52</v>
      </c>
      <c r="G171" s="264">
        <f t="shared" si="20"/>
        <v>3.44</v>
      </c>
      <c r="K171" s="196">
        <f t="shared" si="17"/>
        <v>2</v>
      </c>
      <c r="L171" s="196">
        <f t="shared" si="18"/>
        <v>0.8</v>
      </c>
    </row>
    <row r="172" spans="1:14" x14ac:dyDescent="0.25">
      <c r="A172" s="196">
        <f t="shared" si="16"/>
        <v>6.875</v>
      </c>
      <c r="C172" s="268">
        <v>165</v>
      </c>
      <c r="D172" s="272">
        <f t="shared" si="19"/>
        <v>50842.531759974423</v>
      </c>
      <c r="E172" s="264">
        <f t="shared" si="20"/>
        <v>336</v>
      </c>
      <c r="F172" s="264">
        <f t="shared" si="20"/>
        <v>27.52</v>
      </c>
      <c r="G172" s="264">
        <f t="shared" si="20"/>
        <v>3.44</v>
      </c>
      <c r="K172" s="196">
        <f t="shared" si="17"/>
        <v>2</v>
      </c>
      <c r="L172" s="196">
        <f t="shared" si="18"/>
        <v>0.8</v>
      </c>
    </row>
    <row r="173" spans="1:14" x14ac:dyDescent="0.25">
      <c r="A173" s="196">
        <f t="shared" si="16"/>
        <v>6.916666666666667</v>
      </c>
      <c r="C173" s="268">
        <v>166</v>
      </c>
      <c r="D173" s="272">
        <f t="shared" si="19"/>
        <v>50245.02586819182</v>
      </c>
      <c r="E173" s="264">
        <f t="shared" si="20"/>
        <v>336</v>
      </c>
      <c r="F173" s="264">
        <f t="shared" si="20"/>
        <v>27.52</v>
      </c>
      <c r="G173" s="264">
        <f t="shared" si="20"/>
        <v>3.44</v>
      </c>
      <c r="K173" s="196">
        <f t="shared" si="17"/>
        <v>2</v>
      </c>
      <c r="L173" s="196">
        <f t="shared" si="18"/>
        <v>0.8</v>
      </c>
    </row>
    <row r="174" spans="1:14" x14ac:dyDescent="0.25">
      <c r="A174" s="196">
        <f t="shared" si="16"/>
        <v>6.958333333333333</v>
      </c>
      <c r="C174" s="268">
        <v>167</v>
      </c>
      <c r="D174" s="272">
        <f t="shared" si="19"/>
        <v>48656.964219346941</v>
      </c>
      <c r="E174" s="264">
        <f t="shared" si="20"/>
        <v>336</v>
      </c>
      <c r="F174" s="264">
        <f t="shared" si="20"/>
        <v>27.52</v>
      </c>
      <c r="G174" s="264">
        <f t="shared" si="20"/>
        <v>3.44</v>
      </c>
      <c r="K174" s="196">
        <f t="shared" si="17"/>
        <v>2</v>
      </c>
      <c r="L174" s="196">
        <f t="shared" si="18"/>
        <v>0.8</v>
      </c>
    </row>
    <row r="175" spans="1:14" x14ac:dyDescent="0.25">
      <c r="A175" s="196">
        <f t="shared" si="16"/>
        <v>7</v>
      </c>
      <c r="C175" s="269">
        <v>168</v>
      </c>
      <c r="D175" s="273">
        <f>D7*K175</f>
        <v>92338.007065809448</v>
      </c>
      <c r="E175" s="265">
        <f t="shared" si="20"/>
        <v>210</v>
      </c>
      <c r="F175" s="265">
        <f t="shared" si="20"/>
        <v>17.2</v>
      </c>
      <c r="G175" s="265">
        <f t="shared" si="20"/>
        <v>2.15</v>
      </c>
      <c r="K175">
        <f>$T$14</f>
        <v>4</v>
      </c>
      <c r="L175" s="196">
        <f>$U$14</f>
        <v>0.5</v>
      </c>
      <c r="N175" t="s">
        <v>311</v>
      </c>
    </row>
    <row r="176" spans="1:14" x14ac:dyDescent="0.25">
      <c r="A176" s="196">
        <f t="shared" si="16"/>
        <v>7.041666666666667</v>
      </c>
      <c r="C176" s="269">
        <v>169</v>
      </c>
      <c r="D176" s="273">
        <f t="shared" ref="D176:D198" si="21">D8*K176</f>
        <v>86324.516041515759</v>
      </c>
      <c r="E176" s="265">
        <f t="shared" si="20"/>
        <v>210</v>
      </c>
      <c r="F176" s="265">
        <f t="shared" si="20"/>
        <v>17.2</v>
      </c>
      <c r="G176" s="265">
        <f t="shared" si="20"/>
        <v>2.15</v>
      </c>
      <c r="K176" s="196">
        <f t="shared" ref="K176:K198" si="22">$T$14</f>
        <v>4</v>
      </c>
      <c r="L176" s="196">
        <f t="shared" ref="L176:L198" si="23">$U$14</f>
        <v>0.5</v>
      </c>
    </row>
    <row r="177" spans="1:12" x14ac:dyDescent="0.25">
      <c r="A177" s="196">
        <f t="shared" si="16"/>
        <v>7.083333333333333</v>
      </c>
      <c r="C177" s="269">
        <v>170</v>
      </c>
      <c r="D177" s="273">
        <f t="shared" si="21"/>
        <v>80451.27746687441</v>
      </c>
      <c r="E177" s="265">
        <f t="shared" si="20"/>
        <v>210</v>
      </c>
      <c r="F177" s="265">
        <f t="shared" si="20"/>
        <v>17.2</v>
      </c>
      <c r="G177" s="265">
        <f t="shared" si="20"/>
        <v>2.15</v>
      </c>
      <c r="K177" s="196">
        <f t="shared" si="22"/>
        <v>4</v>
      </c>
      <c r="L177" s="196">
        <f t="shared" si="23"/>
        <v>0.5</v>
      </c>
    </row>
    <row r="178" spans="1:12" x14ac:dyDescent="0.25">
      <c r="A178" s="196">
        <f t="shared" si="16"/>
        <v>7.125</v>
      </c>
      <c r="C178" s="269">
        <v>171</v>
      </c>
      <c r="D178" s="273">
        <f t="shared" si="21"/>
        <v>76025.652127693291</v>
      </c>
      <c r="E178" s="265">
        <f t="shared" si="20"/>
        <v>210</v>
      </c>
      <c r="F178" s="265">
        <f t="shared" si="20"/>
        <v>17.2</v>
      </c>
      <c r="G178" s="265">
        <f t="shared" si="20"/>
        <v>2.15</v>
      </c>
      <c r="K178" s="196">
        <f t="shared" si="22"/>
        <v>4</v>
      </c>
      <c r="L178" s="196">
        <f t="shared" si="23"/>
        <v>0.5</v>
      </c>
    </row>
    <row r="179" spans="1:12" x14ac:dyDescent="0.25">
      <c r="A179" s="196">
        <f t="shared" si="16"/>
        <v>7.166666666666667</v>
      </c>
      <c r="C179" s="269">
        <v>172</v>
      </c>
      <c r="D179" s="273">
        <f t="shared" si="21"/>
        <v>74152.385817681454</v>
      </c>
      <c r="E179" s="265">
        <f t="shared" si="20"/>
        <v>210</v>
      </c>
      <c r="F179" s="265">
        <f t="shared" si="20"/>
        <v>17.2</v>
      </c>
      <c r="G179" s="265">
        <f t="shared" si="20"/>
        <v>2.15</v>
      </c>
      <c r="K179" s="196">
        <f t="shared" si="22"/>
        <v>4</v>
      </c>
      <c r="L179" s="196">
        <f t="shared" si="23"/>
        <v>0.5</v>
      </c>
    </row>
    <row r="180" spans="1:12" x14ac:dyDescent="0.25">
      <c r="A180" s="196">
        <f t="shared" si="16"/>
        <v>7.208333333333333</v>
      </c>
      <c r="C180" s="269">
        <v>173</v>
      </c>
      <c r="D180" s="273">
        <f t="shared" si="21"/>
        <v>75443.120217756441</v>
      </c>
      <c r="E180" s="265">
        <f t="shared" si="20"/>
        <v>210</v>
      </c>
      <c r="F180" s="265">
        <f t="shared" si="20"/>
        <v>17.2</v>
      </c>
      <c r="G180" s="265">
        <f t="shared" si="20"/>
        <v>2.15</v>
      </c>
      <c r="K180" s="196">
        <f t="shared" si="22"/>
        <v>4</v>
      </c>
      <c r="L180" s="196">
        <f t="shared" si="23"/>
        <v>0.5</v>
      </c>
    </row>
    <row r="181" spans="1:12" x14ac:dyDescent="0.25">
      <c r="A181" s="196">
        <f t="shared" si="16"/>
        <v>7.25</v>
      </c>
      <c r="C181" s="269">
        <v>174</v>
      </c>
      <c r="D181" s="273">
        <f t="shared" si="21"/>
        <v>79845.028026608532</v>
      </c>
      <c r="E181" s="265">
        <f t="shared" si="20"/>
        <v>210</v>
      </c>
      <c r="F181" s="265">
        <f t="shared" si="20"/>
        <v>17.2</v>
      </c>
      <c r="G181" s="265">
        <f t="shared" si="20"/>
        <v>2.15</v>
      </c>
      <c r="K181" s="196">
        <f t="shared" si="22"/>
        <v>4</v>
      </c>
      <c r="L181" s="196">
        <f t="shared" si="23"/>
        <v>0.5</v>
      </c>
    </row>
    <row r="182" spans="1:12" x14ac:dyDescent="0.25">
      <c r="A182" s="196">
        <f t="shared" si="16"/>
        <v>7.291666666666667</v>
      </c>
      <c r="C182" s="269">
        <v>175</v>
      </c>
      <c r="D182" s="273">
        <f t="shared" si="21"/>
        <v>86634.998896238496</v>
      </c>
      <c r="E182" s="265">
        <f t="shared" si="20"/>
        <v>210</v>
      </c>
      <c r="F182" s="265">
        <f t="shared" si="20"/>
        <v>17.2</v>
      </c>
      <c r="G182" s="265">
        <f t="shared" si="20"/>
        <v>2.15</v>
      </c>
      <c r="K182" s="196">
        <f t="shared" si="22"/>
        <v>4</v>
      </c>
      <c r="L182" s="196">
        <f t="shared" si="23"/>
        <v>0.5</v>
      </c>
    </row>
    <row r="183" spans="1:12" x14ac:dyDescent="0.25">
      <c r="A183" s="196">
        <f t="shared" si="16"/>
        <v>7.333333333333333</v>
      </c>
      <c r="C183" s="269">
        <v>176</v>
      </c>
      <c r="D183" s="273">
        <f t="shared" si="21"/>
        <v>94582.294907318865</v>
      </c>
      <c r="E183" s="265">
        <f t="shared" si="20"/>
        <v>210</v>
      </c>
      <c r="F183" s="265">
        <f t="shared" si="20"/>
        <v>17.2</v>
      </c>
      <c r="G183" s="265">
        <f t="shared" si="20"/>
        <v>2.15</v>
      </c>
      <c r="K183" s="196">
        <f t="shared" si="22"/>
        <v>4</v>
      </c>
      <c r="L183" s="196">
        <f t="shared" si="23"/>
        <v>0.5</v>
      </c>
    </row>
    <row r="184" spans="1:12" x14ac:dyDescent="0.25">
      <c r="A184" s="196">
        <f t="shared" si="16"/>
        <v>7.375</v>
      </c>
      <c r="C184" s="269">
        <v>177</v>
      </c>
      <c r="D184" s="273">
        <f t="shared" si="21"/>
        <v>102238.21168729037</v>
      </c>
      <c r="E184" s="265">
        <f t="shared" si="20"/>
        <v>210</v>
      </c>
      <c r="F184" s="265">
        <f t="shared" si="20"/>
        <v>17.2</v>
      </c>
      <c r="G184" s="265">
        <f t="shared" si="20"/>
        <v>2.15</v>
      </c>
      <c r="K184" s="196">
        <f t="shared" si="22"/>
        <v>4</v>
      </c>
      <c r="L184" s="196">
        <f t="shared" si="23"/>
        <v>0.5</v>
      </c>
    </row>
    <row r="185" spans="1:12" x14ac:dyDescent="0.25">
      <c r="A185" s="196">
        <f t="shared" si="16"/>
        <v>7.416666666666667</v>
      </c>
      <c r="C185" s="269">
        <v>178</v>
      </c>
      <c r="D185" s="273">
        <f t="shared" si="21"/>
        <v>108277.86441906312</v>
      </c>
      <c r="E185" s="265">
        <f t="shared" si="20"/>
        <v>210</v>
      </c>
      <c r="F185" s="265">
        <f t="shared" si="20"/>
        <v>17.2</v>
      </c>
      <c r="G185" s="265">
        <f t="shared" si="20"/>
        <v>2.15</v>
      </c>
      <c r="K185" s="196">
        <f t="shared" si="22"/>
        <v>4</v>
      </c>
      <c r="L185" s="196">
        <f t="shared" si="23"/>
        <v>0.5</v>
      </c>
    </row>
    <row r="186" spans="1:12" x14ac:dyDescent="0.25">
      <c r="A186" s="196">
        <f t="shared" si="16"/>
        <v>7.458333333333333</v>
      </c>
      <c r="C186" s="269">
        <v>179</v>
      </c>
      <c r="D186" s="273">
        <f t="shared" si="21"/>
        <v>111805.67907235563</v>
      </c>
      <c r="E186" s="265">
        <f t="shared" si="20"/>
        <v>210</v>
      </c>
      <c r="F186" s="265">
        <f t="shared" si="20"/>
        <v>17.2</v>
      </c>
      <c r="G186" s="265">
        <f t="shared" si="20"/>
        <v>2.15</v>
      </c>
      <c r="K186" s="196">
        <f t="shared" si="22"/>
        <v>4</v>
      </c>
      <c r="L186" s="196">
        <f t="shared" si="23"/>
        <v>0.5</v>
      </c>
    </row>
    <row r="187" spans="1:12" x14ac:dyDescent="0.25">
      <c r="A187" s="196">
        <f t="shared" si="16"/>
        <v>7.5</v>
      </c>
      <c r="C187" s="269">
        <v>180</v>
      </c>
      <c r="D187" s="273">
        <f t="shared" si="21"/>
        <v>112546.10679351952</v>
      </c>
      <c r="E187" s="265">
        <f t="shared" si="20"/>
        <v>210</v>
      </c>
      <c r="F187" s="265">
        <f t="shared" si="20"/>
        <v>17.2</v>
      </c>
      <c r="G187" s="265">
        <f t="shared" si="20"/>
        <v>2.15</v>
      </c>
      <c r="K187" s="196">
        <f t="shared" si="22"/>
        <v>4</v>
      </c>
      <c r="L187" s="196">
        <f t="shared" si="23"/>
        <v>0.5</v>
      </c>
    </row>
    <row r="188" spans="1:12" x14ac:dyDescent="0.25">
      <c r="A188" s="196">
        <f t="shared" si="16"/>
        <v>7.541666666666667</v>
      </c>
      <c r="C188" s="269">
        <v>181</v>
      </c>
      <c r="D188" s="273">
        <f t="shared" si="21"/>
        <v>110871.81626229464</v>
      </c>
      <c r="E188" s="265">
        <f t="shared" si="20"/>
        <v>210</v>
      </c>
      <c r="F188" s="265">
        <f t="shared" si="20"/>
        <v>17.2</v>
      </c>
      <c r="G188" s="265">
        <f t="shared" si="20"/>
        <v>2.15</v>
      </c>
      <c r="K188" s="196">
        <f t="shared" si="22"/>
        <v>4</v>
      </c>
      <c r="L188" s="196">
        <f t="shared" si="23"/>
        <v>0.5</v>
      </c>
    </row>
    <row r="189" spans="1:12" x14ac:dyDescent="0.25">
      <c r="A189" s="196">
        <f t="shared" si="16"/>
        <v>7.583333333333333</v>
      </c>
      <c r="C189" s="269">
        <v>182</v>
      </c>
      <c r="D189" s="273">
        <f t="shared" si="21"/>
        <v>107664.92023700773</v>
      </c>
      <c r="E189" s="265">
        <f t="shared" si="20"/>
        <v>210</v>
      </c>
      <c r="F189" s="265">
        <f t="shared" si="20"/>
        <v>17.2</v>
      </c>
      <c r="G189" s="265">
        <f t="shared" si="20"/>
        <v>2.15</v>
      </c>
      <c r="K189" s="196">
        <f t="shared" si="22"/>
        <v>4</v>
      </c>
      <c r="L189" s="196">
        <f t="shared" si="23"/>
        <v>0.5</v>
      </c>
    </row>
    <row r="190" spans="1:12" x14ac:dyDescent="0.25">
      <c r="A190" s="196">
        <f t="shared" si="16"/>
        <v>7.625</v>
      </c>
      <c r="C190" s="269">
        <v>183</v>
      </c>
      <c r="D190" s="273">
        <f t="shared" si="21"/>
        <v>104051.07266506746</v>
      </c>
      <c r="E190" s="265">
        <f t="shared" si="20"/>
        <v>210</v>
      </c>
      <c r="F190" s="265">
        <f t="shared" si="20"/>
        <v>17.2</v>
      </c>
      <c r="G190" s="265">
        <f t="shared" si="20"/>
        <v>2.15</v>
      </c>
      <c r="K190" s="196">
        <f t="shared" si="22"/>
        <v>4</v>
      </c>
      <c r="L190" s="196">
        <f t="shared" si="23"/>
        <v>0.5</v>
      </c>
    </row>
    <row r="191" spans="1:12" x14ac:dyDescent="0.25">
      <c r="A191" s="196">
        <f t="shared" si="16"/>
        <v>7.666666666666667</v>
      </c>
      <c r="C191" s="269">
        <v>184</v>
      </c>
      <c r="D191" s="273">
        <f t="shared" si="21"/>
        <v>101079.69802687172</v>
      </c>
      <c r="E191" s="265">
        <f t="shared" si="20"/>
        <v>210</v>
      </c>
      <c r="F191" s="265">
        <f t="shared" si="20"/>
        <v>17.2</v>
      </c>
      <c r="G191" s="265">
        <f t="shared" si="20"/>
        <v>2.15</v>
      </c>
      <c r="K191" s="196">
        <f t="shared" si="22"/>
        <v>4</v>
      </c>
      <c r="L191" s="196">
        <f t="shared" si="23"/>
        <v>0.5</v>
      </c>
    </row>
    <row r="192" spans="1:12" x14ac:dyDescent="0.25">
      <c r="A192" s="196">
        <f t="shared" si="16"/>
        <v>7.708333333333333</v>
      </c>
      <c r="C192" s="269">
        <v>185</v>
      </c>
      <c r="D192" s="273">
        <f t="shared" si="21"/>
        <v>99437.272271193928</v>
      </c>
      <c r="E192" s="265">
        <f t="shared" si="20"/>
        <v>210</v>
      </c>
      <c r="F192" s="265">
        <f t="shared" si="20"/>
        <v>17.2</v>
      </c>
      <c r="G192" s="265">
        <f t="shared" si="20"/>
        <v>2.15</v>
      </c>
      <c r="K192" s="196">
        <f t="shared" si="22"/>
        <v>4</v>
      </c>
      <c r="L192" s="196">
        <f t="shared" si="23"/>
        <v>0.5</v>
      </c>
    </row>
    <row r="193" spans="1:14" x14ac:dyDescent="0.25">
      <c r="A193" s="196">
        <f t="shared" si="16"/>
        <v>7.75</v>
      </c>
      <c r="C193" s="269">
        <v>186</v>
      </c>
      <c r="D193" s="273">
        <f t="shared" si="21"/>
        <v>99270.858114062547</v>
      </c>
      <c r="E193" s="265">
        <f t="shared" si="20"/>
        <v>210</v>
      </c>
      <c r="F193" s="265">
        <f t="shared" si="20"/>
        <v>17.2</v>
      </c>
      <c r="G193" s="265">
        <f t="shared" si="20"/>
        <v>2.15</v>
      </c>
      <c r="K193" s="196">
        <f t="shared" si="22"/>
        <v>4</v>
      </c>
      <c r="L193" s="196">
        <f t="shared" si="23"/>
        <v>0.5</v>
      </c>
    </row>
    <row r="194" spans="1:14" x14ac:dyDescent="0.25">
      <c r="A194" s="196">
        <f t="shared" si="16"/>
        <v>7.791666666666667</v>
      </c>
      <c r="C194" s="269">
        <v>187</v>
      </c>
      <c r="D194" s="273">
        <f t="shared" si="21"/>
        <v>100168.66879995112</v>
      </c>
      <c r="E194" s="265">
        <f t="shared" si="20"/>
        <v>210</v>
      </c>
      <c r="F194" s="265">
        <f t="shared" si="20"/>
        <v>17.2</v>
      </c>
      <c r="G194" s="265">
        <f t="shared" si="20"/>
        <v>2.15</v>
      </c>
      <c r="K194" s="196">
        <f t="shared" si="22"/>
        <v>4</v>
      </c>
      <c r="L194" s="196">
        <f t="shared" si="23"/>
        <v>0.5</v>
      </c>
    </row>
    <row r="195" spans="1:14" x14ac:dyDescent="0.25">
      <c r="A195" s="196">
        <f t="shared" si="16"/>
        <v>7.833333333333333</v>
      </c>
      <c r="C195" s="269">
        <v>188</v>
      </c>
      <c r="D195" s="273">
        <f t="shared" si="21"/>
        <v>101301.50738879904</v>
      </c>
      <c r="E195" s="265">
        <f t="shared" si="20"/>
        <v>210</v>
      </c>
      <c r="F195" s="265">
        <f t="shared" si="20"/>
        <v>17.2</v>
      </c>
      <c r="G195" s="265">
        <f t="shared" si="20"/>
        <v>2.15</v>
      </c>
      <c r="K195" s="196">
        <f t="shared" si="22"/>
        <v>4</v>
      </c>
      <c r="L195" s="196">
        <f t="shared" si="23"/>
        <v>0.5</v>
      </c>
    </row>
    <row r="196" spans="1:14" x14ac:dyDescent="0.25">
      <c r="A196" s="196">
        <f t="shared" si="16"/>
        <v>7.875</v>
      </c>
      <c r="C196" s="269">
        <v>189</v>
      </c>
      <c r="D196" s="273">
        <f t="shared" si="21"/>
        <v>101685.06351994885</v>
      </c>
      <c r="E196" s="265">
        <f t="shared" si="20"/>
        <v>210</v>
      </c>
      <c r="F196" s="265">
        <f t="shared" si="20"/>
        <v>17.2</v>
      </c>
      <c r="G196" s="265">
        <f t="shared" si="20"/>
        <v>2.15</v>
      </c>
      <c r="K196" s="196">
        <f t="shared" si="22"/>
        <v>4</v>
      </c>
      <c r="L196" s="196">
        <f t="shared" si="23"/>
        <v>0.5</v>
      </c>
    </row>
    <row r="197" spans="1:14" x14ac:dyDescent="0.25">
      <c r="A197" s="196">
        <f t="shared" si="16"/>
        <v>7.916666666666667</v>
      </c>
      <c r="C197" s="269">
        <v>190</v>
      </c>
      <c r="D197" s="273">
        <f t="shared" si="21"/>
        <v>100490.05173638364</v>
      </c>
      <c r="E197" s="265">
        <f t="shared" si="20"/>
        <v>210</v>
      </c>
      <c r="F197" s="265">
        <f t="shared" si="20"/>
        <v>17.2</v>
      </c>
      <c r="G197" s="265">
        <f t="shared" si="20"/>
        <v>2.15</v>
      </c>
      <c r="K197" s="196">
        <f t="shared" si="22"/>
        <v>4</v>
      </c>
      <c r="L197" s="196">
        <f t="shared" si="23"/>
        <v>0.5</v>
      </c>
    </row>
    <row r="198" spans="1:14" x14ac:dyDescent="0.25">
      <c r="A198" s="196">
        <f t="shared" si="16"/>
        <v>7.958333333333333</v>
      </c>
      <c r="C198" s="269">
        <v>191</v>
      </c>
      <c r="D198" s="273">
        <f t="shared" si="21"/>
        <v>97313.928438693882</v>
      </c>
      <c r="E198" s="265">
        <f t="shared" si="20"/>
        <v>210</v>
      </c>
      <c r="F198" s="265">
        <f t="shared" si="20"/>
        <v>17.2</v>
      </c>
      <c r="G198" s="265">
        <f t="shared" si="20"/>
        <v>2.15</v>
      </c>
      <c r="K198" s="196">
        <f t="shared" si="22"/>
        <v>4</v>
      </c>
      <c r="L198" s="196">
        <f t="shared" si="23"/>
        <v>0.5</v>
      </c>
    </row>
    <row r="199" spans="1:14" x14ac:dyDescent="0.25">
      <c r="A199" s="196">
        <f t="shared" si="16"/>
        <v>8</v>
      </c>
      <c r="C199" s="268">
        <v>192</v>
      </c>
      <c r="D199" s="272">
        <f>D7*K199</f>
        <v>46169.003532904724</v>
      </c>
      <c r="E199" s="264">
        <f t="shared" si="20"/>
        <v>336</v>
      </c>
      <c r="F199" s="264">
        <f t="shared" si="20"/>
        <v>27.52</v>
      </c>
      <c r="G199" s="264">
        <f t="shared" si="20"/>
        <v>3.44</v>
      </c>
      <c r="K199">
        <f>$T$15</f>
        <v>2</v>
      </c>
      <c r="L199" s="196">
        <f>$U$15</f>
        <v>0.8</v>
      </c>
      <c r="N199" t="s">
        <v>307</v>
      </c>
    </row>
    <row r="200" spans="1:14" x14ac:dyDescent="0.25">
      <c r="A200" s="196">
        <f t="shared" ref="A200:A263" si="24">C200/24</f>
        <v>8.0416666666666661</v>
      </c>
      <c r="C200" s="268">
        <v>193</v>
      </c>
      <c r="D200" s="272">
        <f t="shared" ref="D200:D263" si="25">D8*K200</f>
        <v>43162.258020757879</v>
      </c>
      <c r="E200" s="264">
        <f t="shared" si="20"/>
        <v>336</v>
      </c>
      <c r="F200" s="264">
        <f t="shared" si="20"/>
        <v>27.52</v>
      </c>
      <c r="G200" s="264">
        <f t="shared" si="20"/>
        <v>3.44</v>
      </c>
      <c r="K200" s="196">
        <f t="shared" ref="K200:K263" si="26">$T$15</f>
        <v>2</v>
      </c>
      <c r="L200" s="196">
        <f t="shared" ref="L200:L263" si="27">$U$15</f>
        <v>0.8</v>
      </c>
    </row>
    <row r="201" spans="1:14" x14ac:dyDescent="0.25">
      <c r="A201" s="196">
        <f t="shared" si="24"/>
        <v>8.0833333333333339</v>
      </c>
      <c r="C201" s="268">
        <v>194</v>
      </c>
      <c r="D201" s="272">
        <f t="shared" si="25"/>
        <v>40225.638733437205</v>
      </c>
      <c r="E201" s="264">
        <f t="shared" si="20"/>
        <v>336</v>
      </c>
      <c r="F201" s="264">
        <f t="shared" si="20"/>
        <v>27.52</v>
      </c>
      <c r="G201" s="264">
        <f t="shared" si="20"/>
        <v>3.44</v>
      </c>
      <c r="K201" s="196">
        <f t="shared" si="26"/>
        <v>2</v>
      </c>
      <c r="L201" s="196">
        <f t="shared" si="27"/>
        <v>0.8</v>
      </c>
    </row>
    <row r="202" spans="1:14" x14ac:dyDescent="0.25">
      <c r="A202" s="196">
        <f t="shared" si="24"/>
        <v>8.125</v>
      </c>
      <c r="C202" s="268">
        <v>195</v>
      </c>
      <c r="D202" s="272">
        <f t="shared" si="25"/>
        <v>38012.826063846645</v>
      </c>
      <c r="E202" s="264">
        <f t="shared" si="20"/>
        <v>336</v>
      </c>
      <c r="F202" s="264">
        <f t="shared" si="20"/>
        <v>27.52</v>
      </c>
      <c r="G202" s="264">
        <f t="shared" si="20"/>
        <v>3.44</v>
      </c>
      <c r="K202" s="196">
        <f t="shared" si="26"/>
        <v>2</v>
      </c>
      <c r="L202" s="196">
        <f t="shared" si="27"/>
        <v>0.8</v>
      </c>
    </row>
    <row r="203" spans="1:14" x14ac:dyDescent="0.25">
      <c r="A203" s="196">
        <f t="shared" si="24"/>
        <v>8.1666666666666661</v>
      </c>
      <c r="C203" s="268">
        <v>196</v>
      </c>
      <c r="D203" s="272">
        <f t="shared" si="25"/>
        <v>37076.192908840727</v>
      </c>
      <c r="E203" s="264">
        <f t="shared" si="20"/>
        <v>336</v>
      </c>
      <c r="F203" s="264">
        <f t="shared" si="20"/>
        <v>27.52</v>
      </c>
      <c r="G203" s="264">
        <f t="shared" si="20"/>
        <v>3.44</v>
      </c>
      <c r="K203" s="196">
        <f t="shared" si="26"/>
        <v>2</v>
      </c>
      <c r="L203" s="196">
        <f t="shared" si="27"/>
        <v>0.8</v>
      </c>
    </row>
    <row r="204" spans="1:14" x14ac:dyDescent="0.25">
      <c r="A204" s="196">
        <f t="shared" si="24"/>
        <v>8.2083333333333339</v>
      </c>
      <c r="C204" s="268">
        <v>197</v>
      </c>
      <c r="D204" s="272">
        <f t="shared" si="25"/>
        <v>37721.56010887822</v>
      </c>
      <c r="E204" s="264">
        <f t="shared" si="20"/>
        <v>336</v>
      </c>
      <c r="F204" s="264">
        <f t="shared" si="20"/>
        <v>27.52</v>
      </c>
      <c r="G204" s="264">
        <f t="shared" si="20"/>
        <v>3.44</v>
      </c>
      <c r="K204" s="196">
        <f t="shared" si="26"/>
        <v>2</v>
      </c>
      <c r="L204" s="196">
        <f t="shared" si="27"/>
        <v>0.8</v>
      </c>
    </row>
    <row r="205" spans="1:14" x14ac:dyDescent="0.25">
      <c r="A205" s="196">
        <f t="shared" si="24"/>
        <v>8.25</v>
      </c>
      <c r="C205" s="268">
        <v>198</v>
      </c>
      <c r="D205" s="272">
        <f t="shared" si="25"/>
        <v>39922.514013304266</v>
      </c>
      <c r="E205" s="264">
        <f t="shared" si="20"/>
        <v>336</v>
      </c>
      <c r="F205" s="264">
        <f t="shared" si="20"/>
        <v>27.52</v>
      </c>
      <c r="G205" s="264">
        <f t="shared" si="20"/>
        <v>3.44</v>
      </c>
      <c r="K205" s="196">
        <f t="shared" si="26"/>
        <v>2</v>
      </c>
      <c r="L205" s="196">
        <f t="shared" si="27"/>
        <v>0.8</v>
      </c>
    </row>
    <row r="206" spans="1:14" x14ac:dyDescent="0.25">
      <c r="A206" s="196">
        <f t="shared" si="24"/>
        <v>8.2916666666666661</v>
      </c>
      <c r="C206" s="268">
        <v>199</v>
      </c>
      <c r="D206" s="272">
        <f t="shared" si="25"/>
        <v>43317.499448119248</v>
      </c>
      <c r="E206" s="264">
        <f t="shared" si="20"/>
        <v>336</v>
      </c>
      <c r="F206" s="264">
        <f t="shared" si="20"/>
        <v>27.52</v>
      </c>
      <c r="G206" s="264">
        <f t="shared" si="20"/>
        <v>3.44</v>
      </c>
      <c r="K206" s="196">
        <f t="shared" si="26"/>
        <v>2</v>
      </c>
      <c r="L206" s="196">
        <f t="shared" si="27"/>
        <v>0.8</v>
      </c>
    </row>
    <row r="207" spans="1:14" x14ac:dyDescent="0.25">
      <c r="A207" s="196">
        <f t="shared" si="24"/>
        <v>8.3333333333333339</v>
      </c>
      <c r="C207" s="268">
        <v>200</v>
      </c>
      <c r="D207" s="272">
        <f t="shared" si="25"/>
        <v>47291.147453659432</v>
      </c>
      <c r="E207" s="264">
        <f t="shared" si="20"/>
        <v>336</v>
      </c>
      <c r="F207" s="264">
        <f t="shared" si="20"/>
        <v>27.52</v>
      </c>
      <c r="G207" s="264">
        <f t="shared" si="20"/>
        <v>3.44</v>
      </c>
      <c r="K207" s="196">
        <f t="shared" si="26"/>
        <v>2</v>
      </c>
      <c r="L207" s="196">
        <f t="shared" si="27"/>
        <v>0.8</v>
      </c>
    </row>
    <row r="208" spans="1:14" x14ac:dyDescent="0.25">
      <c r="A208" s="196">
        <f t="shared" si="24"/>
        <v>8.375</v>
      </c>
      <c r="C208" s="268">
        <v>201</v>
      </c>
      <c r="D208" s="272">
        <f t="shared" si="25"/>
        <v>51119.105843645186</v>
      </c>
      <c r="E208" s="264">
        <f t="shared" si="20"/>
        <v>336</v>
      </c>
      <c r="F208" s="264">
        <f t="shared" si="20"/>
        <v>27.52</v>
      </c>
      <c r="G208" s="264">
        <f t="shared" si="20"/>
        <v>3.44</v>
      </c>
      <c r="K208" s="196">
        <f t="shared" si="26"/>
        <v>2</v>
      </c>
      <c r="L208" s="196">
        <f t="shared" si="27"/>
        <v>0.8</v>
      </c>
    </row>
    <row r="209" spans="1:12" x14ac:dyDescent="0.25">
      <c r="A209" s="196">
        <f t="shared" si="24"/>
        <v>8.4166666666666661</v>
      </c>
      <c r="C209" s="268">
        <v>202</v>
      </c>
      <c r="D209" s="272">
        <f t="shared" si="25"/>
        <v>54138.932209531558</v>
      </c>
      <c r="E209" s="264">
        <f t="shared" si="20"/>
        <v>336</v>
      </c>
      <c r="F209" s="264">
        <f t="shared" si="20"/>
        <v>27.52</v>
      </c>
      <c r="G209" s="264">
        <f t="shared" si="20"/>
        <v>3.44</v>
      </c>
      <c r="K209" s="196">
        <f t="shared" si="26"/>
        <v>2</v>
      </c>
      <c r="L209" s="196">
        <f t="shared" si="27"/>
        <v>0.8</v>
      </c>
    </row>
    <row r="210" spans="1:12" x14ac:dyDescent="0.25">
      <c r="A210" s="196">
        <f t="shared" si="24"/>
        <v>8.4583333333333339</v>
      </c>
      <c r="C210" s="268">
        <v>203</v>
      </c>
      <c r="D210" s="272">
        <f t="shared" si="25"/>
        <v>55902.839536177817</v>
      </c>
      <c r="E210" s="264">
        <f t="shared" si="20"/>
        <v>336</v>
      </c>
      <c r="F210" s="264">
        <f t="shared" si="20"/>
        <v>27.52</v>
      </c>
      <c r="G210" s="264">
        <f t="shared" si="20"/>
        <v>3.44</v>
      </c>
      <c r="K210" s="196">
        <f t="shared" si="26"/>
        <v>2</v>
      </c>
      <c r="L210" s="196">
        <f t="shared" si="27"/>
        <v>0.8</v>
      </c>
    </row>
    <row r="211" spans="1:12" x14ac:dyDescent="0.25">
      <c r="A211" s="196">
        <f t="shared" si="24"/>
        <v>8.5</v>
      </c>
      <c r="C211" s="268">
        <v>204</v>
      </c>
      <c r="D211" s="272">
        <f t="shared" si="25"/>
        <v>56273.053396759758</v>
      </c>
      <c r="E211" s="264">
        <f t="shared" si="20"/>
        <v>336</v>
      </c>
      <c r="F211" s="264">
        <f t="shared" si="20"/>
        <v>27.52</v>
      </c>
      <c r="G211" s="264">
        <f t="shared" si="20"/>
        <v>3.44</v>
      </c>
      <c r="K211" s="196">
        <f t="shared" si="26"/>
        <v>2</v>
      </c>
      <c r="L211" s="196">
        <f t="shared" si="27"/>
        <v>0.8</v>
      </c>
    </row>
    <row r="212" spans="1:12" x14ac:dyDescent="0.25">
      <c r="A212" s="196">
        <f t="shared" si="24"/>
        <v>8.5416666666666661</v>
      </c>
      <c r="C212" s="268">
        <v>205</v>
      </c>
      <c r="D212" s="272">
        <f t="shared" si="25"/>
        <v>55435.90813114732</v>
      </c>
      <c r="E212" s="264">
        <f t="shared" si="20"/>
        <v>336</v>
      </c>
      <c r="F212" s="264">
        <f t="shared" si="20"/>
        <v>27.52</v>
      </c>
      <c r="G212" s="264">
        <f t="shared" si="20"/>
        <v>3.44</v>
      </c>
      <c r="K212" s="196">
        <f t="shared" si="26"/>
        <v>2</v>
      </c>
      <c r="L212" s="196">
        <f t="shared" si="27"/>
        <v>0.8</v>
      </c>
    </row>
    <row r="213" spans="1:12" x14ac:dyDescent="0.25">
      <c r="A213" s="196">
        <f t="shared" si="24"/>
        <v>8.5833333333333339</v>
      </c>
      <c r="C213" s="268">
        <v>206</v>
      </c>
      <c r="D213" s="272">
        <f t="shared" si="25"/>
        <v>53832.460118503863</v>
      </c>
      <c r="E213" s="264">
        <f t="shared" si="20"/>
        <v>336</v>
      </c>
      <c r="F213" s="264">
        <f t="shared" si="20"/>
        <v>27.52</v>
      </c>
      <c r="G213" s="264">
        <f t="shared" si="20"/>
        <v>3.44</v>
      </c>
      <c r="K213" s="196">
        <f t="shared" si="26"/>
        <v>2</v>
      </c>
      <c r="L213" s="196">
        <f t="shared" si="27"/>
        <v>0.8</v>
      </c>
    </row>
    <row r="214" spans="1:12" x14ac:dyDescent="0.25">
      <c r="A214" s="196">
        <f t="shared" si="24"/>
        <v>8.625</v>
      </c>
      <c r="C214" s="268">
        <v>207</v>
      </c>
      <c r="D214" s="272">
        <f t="shared" si="25"/>
        <v>52025.536332533731</v>
      </c>
      <c r="E214" s="264">
        <f t="shared" si="20"/>
        <v>336</v>
      </c>
      <c r="F214" s="264">
        <f t="shared" si="20"/>
        <v>27.52</v>
      </c>
      <c r="G214" s="264">
        <f t="shared" si="20"/>
        <v>3.44</v>
      </c>
      <c r="K214" s="196">
        <f t="shared" si="26"/>
        <v>2</v>
      </c>
      <c r="L214" s="196">
        <f t="shared" si="27"/>
        <v>0.8</v>
      </c>
    </row>
    <row r="215" spans="1:12" x14ac:dyDescent="0.25">
      <c r="A215" s="196">
        <f t="shared" si="24"/>
        <v>8.6666666666666661</v>
      </c>
      <c r="C215" s="268">
        <v>208</v>
      </c>
      <c r="D215" s="272">
        <f t="shared" si="25"/>
        <v>50539.849013435858</v>
      </c>
      <c r="E215" s="264">
        <f t="shared" si="20"/>
        <v>336</v>
      </c>
      <c r="F215" s="264">
        <f t="shared" si="20"/>
        <v>27.52</v>
      </c>
      <c r="G215" s="264">
        <f t="shared" si="20"/>
        <v>3.44</v>
      </c>
      <c r="K215" s="196">
        <f t="shared" si="26"/>
        <v>2</v>
      </c>
      <c r="L215" s="196">
        <f t="shared" si="27"/>
        <v>0.8</v>
      </c>
    </row>
    <row r="216" spans="1:12" x14ac:dyDescent="0.25">
      <c r="A216" s="196">
        <f t="shared" si="24"/>
        <v>8.7083333333333339</v>
      </c>
      <c r="C216" s="268">
        <v>209</v>
      </c>
      <c r="D216" s="272">
        <f t="shared" si="25"/>
        <v>49718.636135596964</v>
      </c>
      <c r="E216" s="264">
        <f t="shared" si="20"/>
        <v>336</v>
      </c>
      <c r="F216" s="264">
        <f t="shared" si="20"/>
        <v>27.52</v>
      </c>
      <c r="G216" s="264">
        <f t="shared" si="20"/>
        <v>3.44</v>
      </c>
      <c r="K216" s="196">
        <f t="shared" si="26"/>
        <v>2</v>
      </c>
      <c r="L216" s="196">
        <f t="shared" si="27"/>
        <v>0.8</v>
      </c>
    </row>
    <row r="217" spans="1:12" x14ac:dyDescent="0.25">
      <c r="A217" s="196">
        <f t="shared" si="24"/>
        <v>8.75</v>
      </c>
      <c r="C217" s="268">
        <v>210</v>
      </c>
      <c r="D217" s="272">
        <f t="shared" si="25"/>
        <v>49635.429057031273</v>
      </c>
      <c r="E217" s="264">
        <f t="shared" si="20"/>
        <v>336</v>
      </c>
      <c r="F217" s="264">
        <f t="shared" si="20"/>
        <v>27.52</v>
      </c>
      <c r="G217" s="264">
        <f t="shared" si="20"/>
        <v>3.44</v>
      </c>
      <c r="K217" s="196">
        <f t="shared" si="26"/>
        <v>2</v>
      </c>
      <c r="L217" s="196">
        <f t="shared" si="27"/>
        <v>0.8</v>
      </c>
    </row>
    <row r="218" spans="1:12" x14ac:dyDescent="0.25">
      <c r="A218" s="196">
        <f t="shared" si="24"/>
        <v>8.7916666666666661</v>
      </c>
      <c r="C218" s="268">
        <v>211</v>
      </c>
      <c r="D218" s="272">
        <f t="shared" si="25"/>
        <v>50084.33439997556</v>
      </c>
      <c r="E218" s="264">
        <f t="shared" si="20"/>
        <v>336</v>
      </c>
      <c r="F218" s="264">
        <f t="shared" si="20"/>
        <v>27.52</v>
      </c>
      <c r="G218" s="264">
        <f t="shared" si="20"/>
        <v>3.44</v>
      </c>
      <c r="K218" s="196">
        <f t="shared" si="26"/>
        <v>2</v>
      </c>
      <c r="L218" s="196">
        <f t="shared" si="27"/>
        <v>0.8</v>
      </c>
    </row>
    <row r="219" spans="1:12" x14ac:dyDescent="0.25">
      <c r="A219" s="196">
        <f t="shared" si="24"/>
        <v>8.8333333333333339</v>
      </c>
      <c r="C219" s="268">
        <v>212</v>
      </c>
      <c r="D219" s="272">
        <f t="shared" si="25"/>
        <v>50650.753694399522</v>
      </c>
      <c r="E219" s="264">
        <f t="shared" si="20"/>
        <v>336</v>
      </c>
      <c r="F219" s="264">
        <f t="shared" si="20"/>
        <v>27.52</v>
      </c>
      <c r="G219" s="264">
        <f t="shared" si="20"/>
        <v>3.44</v>
      </c>
      <c r="K219" s="196">
        <f t="shared" si="26"/>
        <v>2</v>
      </c>
      <c r="L219" s="196">
        <f t="shared" si="27"/>
        <v>0.8</v>
      </c>
    </row>
    <row r="220" spans="1:12" x14ac:dyDescent="0.25">
      <c r="A220" s="196">
        <f t="shared" si="24"/>
        <v>8.875</v>
      </c>
      <c r="C220" s="268">
        <v>213</v>
      </c>
      <c r="D220" s="272">
        <f t="shared" si="25"/>
        <v>50842.531759974423</v>
      </c>
      <c r="E220" s="264">
        <f t="shared" si="20"/>
        <v>336</v>
      </c>
      <c r="F220" s="264">
        <f t="shared" si="20"/>
        <v>27.52</v>
      </c>
      <c r="G220" s="264">
        <f t="shared" si="20"/>
        <v>3.44</v>
      </c>
      <c r="K220" s="196">
        <f t="shared" si="26"/>
        <v>2</v>
      </c>
      <c r="L220" s="196">
        <f t="shared" si="27"/>
        <v>0.8</v>
      </c>
    </row>
    <row r="221" spans="1:12" x14ac:dyDescent="0.25">
      <c r="A221" s="196">
        <f t="shared" si="24"/>
        <v>8.9166666666666661</v>
      </c>
      <c r="C221" s="268">
        <v>214</v>
      </c>
      <c r="D221" s="272">
        <f t="shared" si="25"/>
        <v>50245.02586819182</v>
      </c>
      <c r="E221" s="264">
        <f t="shared" si="20"/>
        <v>336</v>
      </c>
      <c r="F221" s="264">
        <f t="shared" si="20"/>
        <v>27.52</v>
      </c>
      <c r="G221" s="264">
        <f t="shared" si="20"/>
        <v>3.44</v>
      </c>
      <c r="K221" s="196">
        <f t="shared" si="26"/>
        <v>2</v>
      </c>
      <c r="L221" s="196">
        <f t="shared" si="27"/>
        <v>0.8</v>
      </c>
    </row>
    <row r="222" spans="1:12" x14ac:dyDescent="0.25">
      <c r="A222" s="196">
        <f t="shared" si="24"/>
        <v>8.9583333333333339</v>
      </c>
      <c r="C222" s="268">
        <v>215</v>
      </c>
      <c r="D222" s="272">
        <f t="shared" si="25"/>
        <v>48656.964219346941</v>
      </c>
      <c r="E222" s="264">
        <f t="shared" si="20"/>
        <v>336</v>
      </c>
      <c r="F222" s="264">
        <f t="shared" si="20"/>
        <v>27.52</v>
      </c>
      <c r="G222" s="264">
        <f t="shared" si="20"/>
        <v>3.44</v>
      </c>
      <c r="K222" s="196">
        <f t="shared" si="26"/>
        <v>2</v>
      </c>
      <c r="L222" s="196">
        <f t="shared" si="27"/>
        <v>0.8</v>
      </c>
    </row>
    <row r="223" spans="1:12" x14ac:dyDescent="0.25">
      <c r="A223" s="196">
        <f t="shared" si="24"/>
        <v>9</v>
      </c>
      <c r="C223" s="268">
        <v>216</v>
      </c>
      <c r="D223" s="272">
        <f t="shared" si="25"/>
        <v>46169.003532904724</v>
      </c>
      <c r="E223" s="264">
        <f t="shared" si="20"/>
        <v>336</v>
      </c>
      <c r="F223" s="264">
        <f t="shared" si="20"/>
        <v>27.52</v>
      </c>
      <c r="G223" s="264">
        <f t="shared" si="20"/>
        <v>3.44</v>
      </c>
      <c r="K223" s="196">
        <f t="shared" si="26"/>
        <v>2</v>
      </c>
      <c r="L223" s="196">
        <f t="shared" si="27"/>
        <v>0.8</v>
      </c>
    </row>
    <row r="224" spans="1:12" x14ac:dyDescent="0.25">
      <c r="A224" s="196">
        <f t="shared" si="24"/>
        <v>9.0416666666666661</v>
      </c>
      <c r="C224" s="268">
        <v>217</v>
      </c>
      <c r="D224" s="272">
        <f t="shared" si="25"/>
        <v>43162.258020757879</v>
      </c>
      <c r="E224" s="264">
        <f t="shared" si="20"/>
        <v>336</v>
      </c>
      <c r="F224" s="264">
        <f t="shared" si="20"/>
        <v>27.52</v>
      </c>
      <c r="G224" s="264">
        <f t="shared" si="20"/>
        <v>3.44</v>
      </c>
      <c r="K224" s="196">
        <f t="shared" si="26"/>
        <v>2</v>
      </c>
      <c r="L224" s="196">
        <f t="shared" si="27"/>
        <v>0.8</v>
      </c>
    </row>
    <row r="225" spans="1:12" x14ac:dyDescent="0.25">
      <c r="A225" s="196">
        <f t="shared" si="24"/>
        <v>9.0833333333333339</v>
      </c>
      <c r="C225" s="268">
        <v>218</v>
      </c>
      <c r="D225" s="272">
        <f t="shared" si="25"/>
        <v>40225.638733437205</v>
      </c>
      <c r="E225" s="264">
        <f t="shared" si="20"/>
        <v>336</v>
      </c>
      <c r="F225" s="264">
        <f t="shared" si="20"/>
        <v>27.52</v>
      </c>
      <c r="G225" s="264">
        <f t="shared" si="20"/>
        <v>3.44</v>
      </c>
      <c r="K225" s="196">
        <f t="shared" si="26"/>
        <v>2</v>
      </c>
      <c r="L225" s="196">
        <f t="shared" si="27"/>
        <v>0.8</v>
      </c>
    </row>
    <row r="226" spans="1:12" x14ac:dyDescent="0.25">
      <c r="A226" s="196">
        <f t="shared" si="24"/>
        <v>9.125</v>
      </c>
      <c r="C226" s="268">
        <v>219</v>
      </c>
      <c r="D226" s="272">
        <f t="shared" si="25"/>
        <v>38012.826063846645</v>
      </c>
      <c r="E226" s="264">
        <f t="shared" si="20"/>
        <v>336</v>
      </c>
      <c r="F226" s="264">
        <f t="shared" si="20"/>
        <v>27.52</v>
      </c>
      <c r="G226" s="264">
        <f t="shared" si="20"/>
        <v>3.44</v>
      </c>
      <c r="K226" s="196">
        <f t="shared" si="26"/>
        <v>2</v>
      </c>
      <c r="L226" s="196">
        <f t="shared" si="27"/>
        <v>0.8</v>
      </c>
    </row>
    <row r="227" spans="1:12" x14ac:dyDescent="0.25">
      <c r="A227" s="196">
        <f t="shared" si="24"/>
        <v>9.1666666666666661</v>
      </c>
      <c r="C227" s="268">
        <v>220</v>
      </c>
      <c r="D227" s="272">
        <f t="shared" si="25"/>
        <v>37076.192908840727</v>
      </c>
      <c r="E227" s="264">
        <f t="shared" si="20"/>
        <v>336</v>
      </c>
      <c r="F227" s="264">
        <f t="shared" si="20"/>
        <v>27.52</v>
      </c>
      <c r="G227" s="264">
        <f t="shared" si="20"/>
        <v>3.44</v>
      </c>
      <c r="K227" s="196">
        <f t="shared" si="26"/>
        <v>2</v>
      </c>
      <c r="L227" s="196">
        <f t="shared" si="27"/>
        <v>0.8</v>
      </c>
    </row>
    <row r="228" spans="1:12" x14ac:dyDescent="0.25">
      <c r="A228" s="196">
        <f t="shared" si="24"/>
        <v>9.2083333333333339</v>
      </c>
      <c r="C228" s="268">
        <v>221</v>
      </c>
      <c r="D228" s="272">
        <f t="shared" si="25"/>
        <v>37721.56010887822</v>
      </c>
      <c r="E228" s="264">
        <f t="shared" si="20"/>
        <v>336</v>
      </c>
      <c r="F228" s="264">
        <f t="shared" si="20"/>
        <v>27.52</v>
      </c>
      <c r="G228" s="264">
        <f t="shared" si="20"/>
        <v>3.44</v>
      </c>
      <c r="K228" s="196">
        <f t="shared" si="26"/>
        <v>2</v>
      </c>
      <c r="L228" s="196">
        <f t="shared" si="27"/>
        <v>0.8</v>
      </c>
    </row>
    <row r="229" spans="1:12" x14ac:dyDescent="0.25">
      <c r="A229" s="196">
        <f t="shared" si="24"/>
        <v>9.25</v>
      </c>
      <c r="C229" s="268">
        <v>222</v>
      </c>
      <c r="D229" s="272">
        <f t="shared" si="25"/>
        <v>39922.514013304266</v>
      </c>
      <c r="E229" s="264">
        <f t="shared" si="20"/>
        <v>336</v>
      </c>
      <c r="F229" s="264">
        <f t="shared" si="20"/>
        <v>27.52</v>
      </c>
      <c r="G229" s="264">
        <f t="shared" si="20"/>
        <v>3.44</v>
      </c>
      <c r="K229" s="196">
        <f t="shared" si="26"/>
        <v>2</v>
      </c>
      <c r="L229" s="196">
        <f t="shared" si="27"/>
        <v>0.8</v>
      </c>
    </row>
    <row r="230" spans="1:12" x14ac:dyDescent="0.25">
      <c r="A230" s="196">
        <f t="shared" si="24"/>
        <v>9.2916666666666661</v>
      </c>
      <c r="C230" s="268">
        <v>223</v>
      </c>
      <c r="D230" s="272">
        <f t="shared" si="25"/>
        <v>43317.499448119248</v>
      </c>
      <c r="E230" s="264">
        <f t="shared" si="20"/>
        <v>336</v>
      </c>
      <c r="F230" s="264">
        <f t="shared" si="20"/>
        <v>27.52</v>
      </c>
      <c r="G230" s="264">
        <f t="shared" si="20"/>
        <v>3.44</v>
      </c>
      <c r="K230" s="196">
        <f t="shared" si="26"/>
        <v>2</v>
      </c>
      <c r="L230" s="196">
        <f t="shared" si="27"/>
        <v>0.8</v>
      </c>
    </row>
    <row r="231" spans="1:12" x14ac:dyDescent="0.25">
      <c r="A231" s="196">
        <f t="shared" si="24"/>
        <v>9.3333333333333339</v>
      </c>
      <c r="C231" s="268">
        <v>224</v>
      </c>
      <c r="D231" s="272">
        <f t="shared" si="25"/>
        <v>47291.147453659432</v>
      </c>
      <c r="E231" s="264">
        <f t="shared" si="20"/>
        <v>336</v>
      </c>
      <c r="F231" s="264">
        <f t="shared" si="20"/>
        <v>27.52</v>
      </c>
      <c r="G231" s="264">
        <f t="shared" si="20"/>
        <v>3.44</v>
      </c>
      <c r="K231" s="196">
        <f t="shared" si="26"/>
        <v>2</v>
      </c>
      <c r="L231" s="196">
        <f t="shared" si="27"/>
        <v>0.8</v>
      </c>
    </row>
    <row r="232" spans="1:12" x14ac:dyDescent="0.25">
      <c r="A232" s="196">
        <f t="shared" si="24"/>
        <v>9.375</v>
      </c>
      <c r="C232" s="268">
        <v>225</v>
      </c>
      <c r="D232" s="272">
        <f t="shared" si="25"/>
        <v>51119.105843645186</v>
      </c>
      <c r="E232" s="264">
        <f t="shared" ref="E232:G295" si="28">E$3*$L232</f>
        <v>336</v>
      </c>
      <c r="F232" s="264">
        <f t="shared" si="28"/>
        <v>27.52</v>
      </c>
      <c r="G232" s="264">
        <f t="shared" si="28"/>
        <v>3.44</v>
      </c>
      <c r="K232" s="196">
        <f t="shared" si="26"/>
        <v>2</v>
      </c>
      <c r="L232" s="196">
        <f t="shared" si="27"/>
        <v>0.8</v>
      </c>
    </row>
    <row r="233" spans="1:12" x14ac:dyDescent="0.25">
      <c r="A233" s="196">
        <f t="shared" si="24"/>
        <v>9.4166666666666661</v>
      </c>
      <c r="C233" s="268">
        <v>226</v>
      </c>
      <c r="D233" s="272">
        <f t="shared" si="25"/>
        <v>54138.932209531558</v>
      </c>
      <c r="E233" s="264">
        <f t="shared" si="28"/>
        <v>336</v>
      </c>
      <c r="F233" s="264">
        <f t="shared" si="28"/>
        <v>27.52</v>
      </c>
      <c r="G233" s="264">
        <f t="shared" si="28"/>
        <v>3.44</v>
      </c>
      <c r="K233" s="196">
        <f t="shared" si="26"/>
        <v>2</v>
      </c>
      <c r="L233" s="196">
        <f t="shared" si="27"/>
        <v>0.8</v>
      </c>
    </row>
    <row r="234" spans="1:12" x14ac:dyDescent="0.25">
      <c r="A234" s="196">
        <f t="shared" si="24"/>
        <v>9.4583333333333339</v>
      </c>
      <c r="C234" s="268">
        <v>227</v>
      </c>
      <c r="D234" s="272">
        <f t="shared" si="25"/>
        <v>55902.839536177817</v>
      </c>
      <c r="E234" s="264">
        <f t="shared" si="28"/>
        <v>336</v>
      </c>
      <c r="F234" s="264">
        <f t="shared" si="28"/>
        <v>27.52</v>
      </c>
      <c r="G234" s="264">
        <f t="shared" si="28"/>
        <v>3.44</v>
      </c>
      <c r="K234" s="196">
        <f t="shared" si="26"/>
        <v>2</v>
      </c>
      <c r="L234" s="196">
        <f t="shared" si="27"/>
        <v>0.8</v>
      </c>
    </row>
    <row r="235" spans="1:12" x14ac:dyDescent="0.25">
      <c r="A235" s="196">
        <f t="shared" si="24"/>
        <v>9.5</v>
      </c>
      <c r="C235" s="268">
        <v>228</v>
      </c>
      <c r="D235" s="272">
        <f t="shared" si="25"/>
        <v>56273.053396759758</v>
      </c>
      <c r="E235" s="264">
        <f t="shared" si="28"/>
        <v>336</v>
      </c>
      <c r="F235" s="264">
        <f t="shared" si="28"/>
        <v>27.52</v>
      </c>
      <c r="G235" s="264">
        <f t="shared" si="28"/>
        <v>3.44</v>
      </c>
      <c r="K235" s="196">
        <f t="shared" si="26"/>
        <v>2</v>
      </c>
      <c r="L235" s="196">
        <f t="shared" si="27"/>
        <v>0.8</v>
      </c>
    </row>
    <row r="236" spans="1:12" x14ac:dyDescent="0.25">
      <c r="A236" s="196">
        <f t="shared" si="24"/>
        <v>9.5416666666666661</v>
      </c>
      <c r="C236" s="268">
        <v>229</v>
      </c>
      <c r="D236" s="272">
        <f t="shared" si="25"/>
        <v>55435.90813114732</v>
      </c>
      <c r="E236" s="264">
        <f t="shared" si="28"/>
        <v>336</v>
      </c>
      <c r="F236" s="264">
        <f t="shared" si="28"/>
        <v>27.52</v>
      </c>
      <c r="G236" s="264">
        <f t="shared" si="28"/>
        <v>3.44</v>
      </c>
      <c r="K236" s="196">
        <f t="shared" si="26"/>
        <v>2</v>
      </c>
      <c r="L236" s="196">
        <f t="shared" si="27"/>
        <v>0.8</v>
      </c>
    </row>
    <row r="237" spans="1:12" x14ac:dyDescent="0.25">
      <c r="A237" s="196">
        <f t="shared" si="24"/>
        <v>9.5833333333333339</v>
      </c>
      <c r="C237" s="268">
        <v>230</v>
      </c>
      <c r="D237" s="272">
        <f t="shared" si="25"/>
        <v>53832.460118503863</v>
      </c>
      <c r="E237" s="264">
        <f t="shared" si="28"/>
        <v>336</v>
      </c>
      <c r="F237" s="264">
        <f t="shared" si="28"/>
        <v>27.52</v>
      </c>
      <c r="G237" s="264">
        <f t="shared" si="28"/>
        <v>3.44</v>
      </c>
      <c r="K237" s="196">
        <f t="shared" si="26"/>
        <v>2</v>
      </c>
      <c r="L237" s="196">
        <f t="shared" si="27"/>
        <v>0.8</v>
      </c>
    </row>
    <row r="238" spans="1:12" x14ac:dyDescent="0.25">
      <c r="A238" s="196">
        <f t="shared" si="24"/>
        <v>9.625</v>
      </c>
      <c r="C238" s="268">
        <v>231</v>
      </c>
      <c r="D238" s="272">
        <f t="shared" si="25"/>
        <v>52025.536332533731</v>
      </c>
      <c r="E238" s="264">
        <f t="shared" si="28"/>
        <v>336</v>
      </c>
      <c r="F238" s="264">
        <f t="shared" si="28"/>
        <v>27.52</v>
      </c>
      <c r="G238" s="264">
        <f t="shared" si="28"/>
        <v>3.44</v>
      </c>
      <c r="K238" s="196">
        <f t="shared" si="26"/>
        <v>2</v>
      </c>
      <c r="L238" s="196">
        <f t="shared" si="27"/>
        <v>0.8</v>
      </c>
    </row>
    <row r="239" spans="1:12" x14ac:dyDescent="0.25">
      <c r="A239" s="196">
        <f t="shared" si="24"/>
        <v>9.6666666666666661</v>
      </c>
      <c r="C239" s="268">
        <v>232</v>
      </c>
      <c r="D239" s="272">
        <f t="shared" si="25"/>
        <v>50539.849013435858</v>
      </c>
      <c r="E239" s="264">
        <f t="shared" si="28"/>
        <v>336</v>
      </c>
      <c r="F239" s="264">
        <f t="shared" si="28"/>
        <v>27.52</v>
      </c>
      <c r="G239" s="264">
        <f t="shared" si="28"/>
        <v>3.44</v>
      </c>
      <c r="K239" s="196">
        <f t="shared" si="26"/>
        <v>2</v>
      </c>
      <c r="L239" s="196">
        <f t="shared" si="27"/>
        <v>0.8</v>
      </c>
    </row>
    <row r="240" spans="1:12" x14ac:dyDescent="0.25">
      <c r="A240" s="196">
        <f t="shared" si="24"/>
        <v>9.7083333333333339</v>
      </c>
      <c r="C240" s="268">
        <v>233</v>
      </c>
      <c r="D240" s="272">
        <f t="shared" si="25"/>
        <v>49718.636135596964</v>
      </c>
      <c r="E240" s="264">
        <f t="shared" si="28"/>
        <v>336</v>
      </c>
      <c r="F240" s="264">
        <f t="shared" si="28"/>
        <v>27.52</v>
      </c>
      <c r="G240" s="264">
        <f t="shared" si="28"/>
        <v>3.44</v>
      </c>
      <c r="K240" s="196">
        <f t="shared" si="26"/>
        <v>2</v>
      </c>
      <c r="L240" s="196">
        <f t="shared" si="27"/>
        <v>0.8</v>
      </c>
    </row>
    <row r="241" spans="1:12" x14ac:dyDescent="0.25">
      <c r="A241" s="196">
        <f t="shared" si="24"/>
        <v>9.75</v>
      </c>
      <c r="C241" s="268">
        <v>234</v>
      </c>
      <c r="D241" s="272">
        <f t="shared" si="25"/>
        <v>49635.429057031273</v>
      </c>
      <c r="E241" s="264">
        <f t="shared" si="28"/>
        <v>336</v>
      </c>
      <c r="F241" s="264">
        <f t="shared" si="28"/>
        <v>27.52</v>
      </c>
      <c r="G241" s="264">
        <f t="shared" si="28"/>
        <v>3.44</v>
      </c>
      <c r="K241" s="196">
        <f t="shared" si="26"/>
        <v>2</v>
      </c>
      <c r="L241" s="196">
        <f t="shared" si="27"/>
        <v>0.8</v>
      </c>
    </row>
    <row r="242" spans="1:12" x14ac:dyDescent="0.25">
      <c r="A242" s="196">
        <f t="shared" si="24"/>
        <v>9.7916666666666661</v>
      </c>
      <c r="C242" s="268">
        <v>235</v>
      </c>
      <c r="D242" s="272">
        <f t="shared" si="25"/>
        <v>50084.33439997556</v>
      </c>
      <c r="E242" s="264">
        <f t="shared" si="28"/>
        <v>336</v>
      </c>
      <c r="F242" s="264">
        <f t="shared" si="28"/>
        <v>27.52</v>
      </c>
      <c r="G242" s="264">
        <f t="shared" si="28"/>
        <v>3.44</v>
      </c>
      <c r="K242" s="196">
        <f t="shared" si="26"/>
        <v>2</v>
      </c>
      <c r="L242" s="196">
        <f t="shared" si="27"/>
        <v>0.8</v>
      </c>
    </row>
    <row r="243" spans="1:12" x14ac:dyDescent="0.25">
      <c r="A243" s="196">
        <f t="shared" si="24"/>
        <v>9.8333333333333339</v>
      </c>
      <c r="C243" s="268">
        <v>236</v>
      </c>
      <c r="D243" s="272">
        <f t="shared" si="25"/>
        <v>50650.753694399522</v>
      </c>
      <c r="E243" s="264">
        <f t="shared" si="28"/>
        <v>336</v>
      </c>
      <c r="F243" s="264">
        <f t="shared" si="28"/>
        <v>27.52</v>
      </c>
      <c r="G243" s="264">
        <f t="shared" si="28"/>
        <v>3.44</v>
      </c>
      <c r="K243" s="196">
        <f t="shared" si="26"/>
        <v>2</v>
      </c>
      <c r="L243" s="196">
        <f t="shared" si="27"/>
        <v>0.8</v>
      </c>
    </row>
    <row r="244" spans="1:12" x14ac:dyDescent="0.25">
      <c r="A244" s="196">
        <f t="shared" si="24"/>
        <v>9.875</v>
      </c>
      <c r="C244" s="268">
        <v>237</v>
      </c>
      <c r="D244" s="272">
        <f t="shared" si="25"/>
        <v>50842.531759974423</v>
      </c>
      <c r="E244" s="264">
        <f t="shared" si="28"/>
        <v>336</v>
      </c>
      <c r="F244" s="264">
        <f t="shared" si="28"/>
        <v>27.52</v>
      </c>
      <c r="G244" s="264">
        <f t="shared" si="28"/>
        <v>3.44</v>
      </c>
      <c r="K244" s="196">
        <f t="shared" si="26"/>
        <v>2</v>
      </c>
      <c r="L244" s="196">
        <f t="shared" si="27"/>
        <v>0.8</v>
      </c>
    </row>
    <row r="245" spans="1:12" x14ac:dyDescent="0.25">
      <c r="A245" s="196">
        <f t="shared" si="24"/>
        <v>9.9166666666666661</v>
      </c>
      <c r="C245" s="268">
        <v>238</v>
      </c>
      <c r="D245" s="272">
        <f t="shared" si="25"/>
        <v>50245.02586819182</v>
      </c>
      <c r="E245" s="264">
        <f t="shared" si="28"/>
        <v>336</v>
      </c>
      <c r="F245" s="264">
        <f t="shared" si="28"/>
        <v>27.52</v>
      </c>
      <c r="G245" s="264">
        <f t="shared" si="28"/>
        <v>3.44</v>
      </c>
      <c r="K245" s="196">
        <f t="shared" si="26"/>
        <v>2</v>
      </c>
      <c r="L245" s="196">
        <f t="shared" si="27"/>
        <v>0.8</v>
      </c>
    </row>
    <row r="246" spans="1:12" x14ac:dyDescent="0.25">
      <c r="A246" s="196">
        <f t="shared" si="24"/>
        <v>9.9583333333333339</v>
      </c>
      <c r="C246" s="268">
        <v>239</v>
      </c>
      <c r="D246" s="272">
        <f t="shared" si="25"/>
        <v>48656.964219346941</v>
      </c>
      <c r="E246" s="264">
        <f t="shared" si="28"/>
        <v>336</v>
      </c>
      <c r="F246" s="264">
        <f t="shared" si="28"/>
        <v>27.52</v>
      </c>
      <c r="G246" s="264">
        <f t="shared" si="28"/>
        <v>3.44</v>
      </c>
      <c r="K246" s="196">
        <f t="shared" si="26"/>
        <v>2</v>
      </c>
      <c r="L246" s="196">
        <f t="shared" si="27"/>
        <v>0.8</v>
      </c>
    </row>
    <row r="247" spans="1:12" x14ac:dyDescent="0.25">
      <c r="A247" s="196">
        <f t="shared" si="24"/>
        <v>10</v>
      </c>
      <c r="C247" s="268">
        <v>240</v>
      </c>
      <c r="D247" s="272">
        <f t="shared" si="25"/>
        <v>46169.003532904724</v>
      </c>
      <c r="E247" s="264">
        <f t="shared" si="28"/>
        <v>336</v>
      </c>
      <c r="F247" s="264">
        <f t="shared" si="28"/>
        <v>27.52</v>
      </c>
      <c r="G247" s="264">
        <f t="shared" si="28"/>
        <v>3.44</v>
      </c>
      <c r="K247" s="196">
        <f t="shared" si="26"/>
        <v>2</v>
      </c>
      <c r="L247" s="196">
        <f t="shared" si="27"/>
        <v>0.8</v>
      </c>
    </row>
    <row r="248" spans="1:12" x14ac:dyDescent="0.25">
      <c r="A248" s="196">
        <f t="shared" si="24"/>
        <v>10.041666666666666</v>
      </c>
      <c r="C248" s="268">
        <v>241</v>
      </c>
      <c r="D248" s="272">
        <f t="shared" si="25"/>
        <v>43162.258020757879</v>
      </c>
      <c r="E248" s="264">
        <f t="shared" si="28"/>
        <v>336</v>
      </c>
      <c r="F248" s="264">
        <f t="shared" si="28"/>
        <v>27.52</v>
      </c>
      <c r="G248" s="264">
        <f t="shared" si="28"/>
        <v>3.44</v>
      </c>
      <c r="K248" s="196">
        <f t="shared" si="26"/>
        <v>2</v>
      </c>
      <c r="L248" s="196">
        <f t="shared" si="27"/>
        <v>0.8</v>
      </c>
    </row>
    <row r="249" spans="1:12" x14ac:dyDescent="0.25">
      <c r="A249" s="196">
        <f t="shared" si="24"/>
        <v>10.083333333333334</v>
      </c>
      <c r="C249" s="268">
        <v>242</v>
      </c>
      <c r="D249" s="272">
        <f t="shared" si="25"/>
        <v>40225.638733437205</v>
      </c>
      <c r="E249" s="264">
        <f t="shared" si="28"/>
        <v>336</v>
      </c>
      <c r="F249" s="264">
        <f t="shared" si="28"/>
        <v>27.52</v>
      </c>
      <c r="G249" s="264">
        <f t="shared" si="28"/>
        <v>3.44</v>
      </c>
      <c r="K249" s="196">
        <f t="shared" si="26"/>
        <v>2</v>
      </c>
      <c r="L249" s="196">
        <f t="shared" si="27"/>
        <v>0.8</v>
      </c>
    </row>
    <row r="250" spans="1:12" x14ac:dyDescent="0.25">
      <c r="A250" s="196">
        <f t="shared" si="24"/>
        <v>10.125</v>
      </c>
      <c r="C250" s="268">
        <v>243</v>
      </c>
      <c r="D250" s="272">
        <f t="shared" si="25"/>
        <v>38012.826063846645</v>
      </c>
      <c r="E250" s="264">
        <f t="shared" si="28"/>
        <v>336</v>
      </c>
      <c r="F250" s="264">
        <f t="shared" si="28"/>
        <v>27.52</v>
      </c>
      <c r="G250" s="264">
        <f t="shared" si="28"/>
        <v>3.44</v>
      </c>
      <c r="K250" s="196">
        <f t="shared" si="26"/>
        <v>2</v>
      </c>
      <c r="L250" s="196">
        <f t="shared" si="27"/>
        <v>0.8</v>
      </c>
    </row>
    <row r="251" spans="1:12" x14ac:dyDescent="0.25">
      <c r="A251" s="196">
        <f t="shared" si="24"/>
        <v>10.166666666666666</v>
      </c>
      <c r="C251" s="268">
        <v>244</v>
      </c>
      <c r="D251" s="272">
        <f t="shared" si="25"/>
        <v>37076.192908840727</v>
      </c>
      <c r="E251" s="264">
        <f t="shared" si="28"/>
        <v>336</v>
      </c>
      <c r="F251" s="264">
        <f t="shared" si="28"/>
        <v>27.52</v>
      </c>
      <c r="G251" s="264">
        <f t="shared" si="28"/>
        <v>3.44</v>
      </c>
      <c r="K251" s="196">
        <f t="shared" si="26"/>
        <v>2</v>
      </c>
      <c r="L251" s="196">
        <f t="shared" si="27"/>
        <v>0.8</v>
      </c>
    </row>
    <row r="252" spans="1:12" x14ac:dyDescent="0.25">
      <c r="A252" s="196">
        <f t="shared" si="24"/>
        <v>10.208333333333334</v>
      </c>
      <c r="C252" s="268">
        <v>245</v>
      </c>
      <c r="D252" s="272">
        <f t="shared" si="25"/>
        <v>37721.56010887822</v>
      </c>
      <c r="E252" s="264">
        <f t="shared" si="28"/>
        <v>336</v>
      </c>
      <c r="F252" s="264">
        <f t="shared" si="28"/>
        <v>27.52</v>
      </c>
      <c r="G252" s="264">
        <f t="shared" si="28"/>
        <v>3.44</v>
      </c>
      <c r="K252" s="196">
        <f t="shared" si="26"/>
        <v>2</v>
      </c>
      <c r="L252" s="196">
        <f t="shared" si="27"/>
        <v>0.8</v>
      </c>
    </row>
    <row r="253" spans="1:12" x14ac:dyDescent="0.25">
      <c r="A253" s="196">
        <f t="shared" si="24"/>
        <v>10.25</v>
      </c>
      <c r="C253" s="268">
        <v>246</v>
      </c>
      <c r="D253" s="272">
        <f t="shared" si="25"/>
        <v>39922.514013304266</v>
      </c>
      <c r="E253" s="264">
        <f t="shared" si="28"/>
        <v>336</v>
      </c>
      <c r="F253" s="264">
        <f t="shared" si="28"/>
        <v>27.52</v>
      </c>
      <c r="G253" s="264">
        <f t="shared" si="28"/>
        <v>3.44</v>
      </c>
      <c r="K253" s="196">
        <f t="shared" si="26"/>
        <v>2</v>
      </c>
      <c r="L253" s="196">
        <f t="shared" si="27"/>
        <v>0.8</v>
      </c>
    </row>
    <row r="254" spans="1:12" x14ac:dyDescent="0.25">
      <c r="A254" s="196">
        <f t="shared" si="24"/>
        <v>10.291666666666666</v>
      </c>
      <c r="C254" s="268">
        <v>247</v>
      </c>
      <c r="D254" s="272">
        <f t="shared" si="25"/>
        <v>43317.499448119248</v>
      </c>
      <c r="E254" s="264">
        <f t="shared" si="28"/>
        <v>336</v>
      </c>
      <c r="F254" s="264">
        <f t="shared" si="28"/>
        <v>27.52</v>
      </c>
      <c r="G254" s="264">
        <f t="shared" si="28"/>
        <v>3.44</v>
      </c>
      <c r="K254" s="196">
        <f t="shared" si="26"/>
        <v>2</v>
      </c>
      <c r="L254" s="196">
        <f t="shared" si="27"/>
        <v>0.8</v>
      </c>
    </row>
    <row r="255" spans="1:12" x14ac:dyDescent="0.25">
      <c r="A255" s="196">
        <f t="shared" si="24"/>
        <v>10.333333333333334</v>
      </c>
      <c r="C255" s="268">
        <v>248</v>
      </c>
      <c r="D255" s="272">
        <f t="shared" si="25"/>
        <v>47291.147453659432</v>
      </c>
      <c r="E255" s="264">
        <f t="shared" si="28"/>
        <v>336</v>
      </c>
      <c r="F255" s="264">
        <f t="shared" si="28"/>
        <v>27.52</v>
      </c>
      <c r="G255" s="264">
        <f t="shared" si="28"/>
        <v>3.44</v>
      </c>
      <c r="K255" s="196">
        <f t="shared" si="26"/>
        <v>2</v>
      </c>
      <c r="L255" s="196">
        <f t="shared" si="27"/>
        <v>0.8</v>
      </c>
    </row>
    <row r="256" spans="1:12" x14ac:dyDescent="0.25">
      <c r="A256" s="196">
        <f t="shared" si="24"/>
        <v>10.375</v>
      </c>
      <c r="C256" s="268">
        <v>249</v>
      </c>
      <c r="D256" s="272">
        <f t="shared" si="25"/>
        <v>51119.105843645186</v>
      </c>
      <c r="E256" s="264">
        <f t="shared" si="28"/>
        <v>336</v>
      </c>
      <c r="F256" s="264">
        <f t="shared" si="28"/>
        <v>27.52</v>
      </c>
      <c r="G256" s="264">
        <f t="shared" si="28"/>
        <v>3.44</v>
      </c>
      <c r="K256" s="196">
        <f t="shared" si="26"/>
        <v>2</v>
      </c>
      <c r="L256" s="196">
        <f t="shared" si="27"/>
        <v>0.8</v>
      </c>
    </row>
    <row r="257" spans="1:12" x14ac:dyDescent="0.25">
      <c r="A257" s="196">
        <f t="shared" si="24"/>
        <v>10.416666666666666</v>
      </c>
      <c r="C257" s="268">
        <v>250</v>
      </c>
      <c r="D257" s="272">
        <f t="shared" si="25"/>
        <v>54138.932209531558</v>
      </c>
      <c r="E257" s="264">
        <f t="shared" si="28"/>
        <v>336</v>
      </c>
      <c r="F257" s="264">
        <f t="shared" si="28"/>
        <v>27.52</v>
      </c>
      <c r="G257" s="264">
        <f t="shared" si="28"/>
        <v>3.44</v>
      </c>
      <c r="K257" s="196">
        <f t="shared" si="26"/>
        <v>2</v>
      </c>
      <c r="L257" s="196">
        <f t="shared" si="27"/>
        <v>0.8</v>
      </c>
    </row>
    <row r="258" spans="1:12" x14ac:dyDescent="0.25">
      <c r="A258" s="196">
        <f t="shared" si="24"/>
        <v>10.458333333333334</v>
      </c>
      <c r="C258" s="268">
        <v>251</v>
      </c>
      <c r="D258" s="272">
        <f t="shared" si="25"/>
        <v>55902.839536177817</v>
      </c>
      <c r="E258" s="264">
        <f t="shared" si="28"/>
        <v>336</v>
      </c>
      <c r="F258" s="264">
        <f t="shared" si="28"/>
        <v>27.52</v>
      </c>
      <c r="G258" s="264">
        <f t="shared" si="28"/>
        <v>3.44</v>
      </c>
      <c r="K258" s="196">
        <f t="shared" si="26"/>
        <v>2</v>
      </c>
      <c r="L258" s="196">
        <f t="shared" si="27"/>
        <v>0.8</v>
      </c>
    </row>
    <row r="259" spans="1:12" x14ac:dyDescent="0.25">
      <c r="A259" s="196">
        <f t="shared" si="24"/>
        <v>10.5</v>
      </c>
      <c r="C259" s="268">
        <v>252</v>
      </c>
      <c r="D259" s="272">
        <f t="shared" si="25"/>
        <v>56273.053396759758</v>
      </c>
      <c r="E259" s="264">
        <f t="shared" si="28"/>
        <v>336</v>
      </c>
      <c r="F259" s="264">
        <f t="shared" si="28"/>
        <v>27.52</v>
      </c>
      <c r="G259" s="264">
        <f t="shared" si="28"/>
        <v>3.44</v>
      </c>
      <c r="K259" s="196">
        <f t="shared" si="26"/>
        <v>2</v>
      </c>
      <c r="L259" s="196">
        <f t="shared" si="27"/>
        <v>0.8</v>
      </c>
    </row>
    <row r="260" spans="1:12" x14ac:dyDescent="0.25">
      <c r="A260" s="196">
        <f t="shared" si="24"/>
        <v>10.541666666666666</v>
      </c>
      <c r="C260" s="268">
        <v>253</v>
      </c>
      <c r="D260" s="272">
        <f t="shared" si="25"/>
        <v>55435.90813114732</v>
      </c>
      <c r="E260" s="264">
        <f t="shared" si="28"/>
        <v>336</v>
      </c>
      <c r="F260" s="264">
        <f t="shared" si="28"/>
        <v>27.52</v>
      </c>
      <c r="G260" s="264">
        <f t="shared" si="28"/>
        <v>3.44</v>
      </c>
      <c r="K260" s="196">
        <f t="shared" si="26"/>
        <v>2</v>
      </c>
      <c r="L260" s="196">
        <f t="shared" si="27"/>
        <v>0.8</v>
      </c>
    </row>
    <row r="261" spans="1:12" x14ac:dyDescent="0.25">
      <c r="A261" s="196">
        <f t="shared" si="24"/>
        <v>10.583333333333334</v>
      </c>
      <c r="C261" s="268">
        <v>254</v>
      </c>
      <c r="D261" s="272">
        <f t="shared" si="25"/>
        <v>53832.460118503863</v>
      </c>
      <c r="E261" s="264">
        <f t="shared" si="28"/>
        <v>336</v>
      </c>
      <c r="F261" s="264">
        <f t="shared" si="28"/>
        <v>27.52</v>
      </c>
      <c r="G261" s="264">
        <f t="shared" si="28"/>
        <v>3.44</v>
      </c>
      <c r="K261" s="196">
        <f t="shared" si="26"/>
        <v>2</v>
      </c>
      <c r="L261" s="196">
        <f t="shared" si="27"/>
        <v>0.8</v>
      </c>
    </row>
    <row r="262" spans="1:12" x14ac:dyDescent="0.25">
      <c r="A262" s="196">
        <f t="shared" si="24"/>
        <v>10.625</v>
      </c>
      <c r="C262" s="268">
        <v>255</v>
      </c>
      <c r="D262" s="272">
        <f t="shared" si="25"/>
        <v>52025.536332533731</v>
      </c>
      <c r="E262" s="264">
        <f t="shared" si="28"/>
        <v>336</v>
      </c>
      <c r="F262" s="264">
        <f t="shared" si="28"/>
        <v>27.52</v>
      </c>
      <c r="G262" s="264">
        <f t="shared" si="28"/>
        <v>3.44</v>
      </c>
      <c r="K262" s="196">
        <f t="shared" si="26"/>
        <v>2</v>
      </c>
      <c r="L262" s="196">
        <f t="shared" si="27"/>
        <v>0.8</v>
      </c>
    </row>
    <row r="263" spans="1:12" x14ac:dyDescent="0.25">
      <c r="A263" s="196">
        <f t="shared" si="24"/>
        <v>10.666666666666666</v>
      </c>
      <c r="C263" s="268">
        <v>256</v>
      </c>
      <c r="D263" s="272">
        <f t="shared" si="25"/>
        <v>50539.849013435858</v>
      </c>
      <c r="E263" s="264">
        <f t="shared" si="28"/>
        <v>336</v>
      </c>
      <c r="F263" s="264">
        <f t="shared" si="28"/>
        <v>27.52</v>
      </c>
      <c r="G263" s="264">
        <f t="shared" si="28"/>
        <v>3.44</v>
      </c>
      <c r="K263" s="196">
        <f t="shared" si="26"/>
        <v>2</v>
      </c>
      <c r="L263" s="196">
        <f t="shared" si="27"/>
        <v>0.8</v>
      </c>
    </row>
    <row r="264" spans="1:12" x14ac:dyDescent="0.25">
      <c r="A264" s="196">
        <f t="shared" ref="A264:A327" si="29">C264/24</f>
        <v>10.708333333333334</v>
      </c>
      <c r="C264" s="268">
        <v>257</v>
      </c>
      <c r="D264" s="272">
        <f t="shared" ref="D264:D270" si="30">D72*K264</f>
        <v>49718.636135596964</v>
      </c>
      <c r="E264" s="264">
        <f t="shared" si="28"/>
        <v>336</v>
      </c>
      <c r="F264" s="264">
        <f t="shared" si="28"/>
        <v>27.52</v>
      </c>
      <c r="G264" s="264">
        <f t="shared" si="28"/>
        <v>3.44</v>
      </c>
      <c r="K264" s="196">
        <f t="shared" ref="K264:K318" si="31">$T$15</f>
        <v>2</v>
      </c>
      <c r="L264" s="196">
        <f t="shared" ref="L264:L318" si="32">$U$15</f>
        <v>0.8</v>
      </c>
    </row>
    <row r="265" spans="1:12" x14ac:dyDescent="0.25">
      <c r="A265" s="196">
        <f t="shared" si="29"/>
        <v>10.75</v>
      </c>
      <c r="C265" s="268">
        <v>258</v>
      </c>
      <c r="D265" s="272">
        <f t="shared" si="30"/>
        <v>49635.429057031273</v>
      </c>
      <c r="E265" s="264">
        <f t="shared" si="28"/>
        <v>336</v>
      </c>
      <c r="F265" s="264">
        <f t="shared" si="28"/>
        <v>27.52</v>
      </c>
      <c r="G265" s="264">
        <f t="shared" si="28"/>
        <v>3.44</v>
      </c>
      <c r="K265" s="196">
        <f t="shared" si="31"/>
        <v>2</v>
      </c>
      <c r="L265" s="196">
        <f t="shared" si="32"/>
        <v>0.8</v>
      </c>
    </row>
    <row r="266" spans="1:12" x14ac:dyDescent="0.25">
      <c r="A266" s="196">
        <f t="shared" si="29"/>
        <v>10.791666666666666</v>
      </c>
      <c r="C266" s="268">
        <v>259</v>
      </c>
      <c r="D266" s="272">
        <f t="shared" si="30"/>
        <v>50084.33439997556</v>
      </c>
      <c r="E266" s="264">
        <f t="shared" si="28"/>
        <v>336</v>
      </c>
      <c r="F266" s="264">
        <f t="shared" si="28"/>
        <v>27.52</v>
      </c>
      <c r="G266" s="264">
        <f t="shared" si="28"/>
        <v>3.44</v>
      </c>
      <c r="K266" s="196">
        <f t="shared" si="31"/>
        <v>2</v>
      </c>
      <c r="L266" s="196">
        <f t="shared" si="32"/>
        <v>0.8</v>
      </c>
    </row>
    <row r="267" spans="1:12" x14ac:dyDescent="0.25">
      <c r="A267" s="196">
        <f t="shared" si="29"/>
        <v>10.833333333333334</v>
      </c>
      <c r="C267" s="268">
        <v>260</v>
      </c>
      <c r="D267" s="272">
        <f t="shared" si="30"/>
        <v>50650.753694399522</v>
      </c>
      <c r="E267" s="264">
        <f t="shared" si="28"/>
        <v>336</v>
      </c>
      <c r="F267" s="264">
        <f t="shared" si="28"/>
        <v>27.52</v>
      </c>
      <c r="G267" s="264">
        <f t="shared" si="28"/>
        <v>3.44</v>
      </c>
      <c r="K267" s="196">
        <f t="shared" si="31"/>
        <v>2</v>
      </c>
      <c r="L267" s="196">
        <f t="shared" si="32"/>
        <v>0.8</v>
      </c>
    </row>
    <row r="268" spans="1:12" x14ac:dyDescent="0.25">
      <c r="A268" s="196">
        <f t="shared" si="29"/>
        <v>10.875</v>
      </c>
      <c r="C268" s="268">
        <v>261</v>
      </c>
      <c r="D268" s="272">
        <f t="shared" si="30"/>
        <v>50842.531759974423</v>
      </c>
      <c r="E268" s="264">
        <f t="shared" si="28"/>
        <v>336</v>
      </c>
      <c r="F268" s="264">
        <f t="shared" si="28"/>
        <v>27.52</v>
      </c>
      <c r="G268" s="264">
        <f t="shared" si="28"/>
        <v>3.44</v>
      </c>
      <c r="K268" s="196">
        <f t="shared" si="31"/>
        <v>2</v>
      </c>
      <c r="L268" s="196">
        <f t="shared" si="32"/>
        <v>0.8</v>
      </c>
    </row>
    <row r="269" spans="1:12" x14ac:dyDescent="0.25">
      <c r="A269" s="196">
        <f t="shared" si="29"/>
        <v>10.916666666666666</v>
      </c>
      <c r="C269" s="268">
        <v>262</v>
      </c>
      <c r="D269" s="272">
        <f t="shared" si="30"/>
        <v>50245.02586819182</v>
      </c>
      <c r="E269" s="264">
        <f t="shared" si="28"/>
        <v>336</v>
      </c>
      <c r="F269" s="264">
        <f t="shared" si="28"/>
        <v>27.52</v>
      </c>
      <c r="G269" s="264">
        <f t="shared" si="28"/>
        <v>3.44</v>
      </c>
      <c r="K269" s="196">
        <f t="shared" si="31"/>
        <v>2</v>
      </c>
      <c r="L269" s="196">
        <f t="shared" si="32"/>
        <v>0.8</v>
      </c>
    </row>
    <row r="270" spans="1:12" x14ac:dyDescent="0.25">
      <c r="A270" s="196">
        <f t="shared" si="29"/>
        <v>10.958333333333334</v>
      </c>
      <c r="C270" s="268">
        <v>263</v>
      </c>
      <c r="D270" s="272">
        <f t="shared" si="30"/>
        <v>48656.964219346941</v>
      </c>
      <c r="E270" s="264">
        <f t="shared" si="28"/>
        <v>336</v>
      </c>
      <c r="F270" s="264">
        <f t="shared" si="28"/>
        <v>27.52</v>
      </c>
      <c r="G270" s="264">
        <f t="shared" si="28"/>
        <v>3.44</v>
      </c>
      <c r="K270" s="196">
        <f t="shared" si="31"/>
        <v>2</v>
      </c>
      <c r="L270" s="196">
        <f t="shared" si="32"/>
        <v>0.8</v>
      </c>
    </row>
    <row r="271" spans="1:12" x14ac:dyDescent="0.25">
      <c r="A271" s="196">
        <f t="shared" si="29"/>
        <v>11</v>
      </c>
      <c r="C271" s="268">
        <v>264</v>
      </c>
      <c r="D271" s="272">
        <f>D7*K271</f>
        <v>46169.003532904724</v>
      </c>
      <c r="E271" s="264">
        <f t="shared" si="28"/>
        <v>336</v>
      </c>
      <c r="F271" s="264">
        <f t="shared" si="28"/>
        <v>27.52</v>
      </c>
      <c r="G271" s="264">
        <f t="shared" si="28"/>
        <v>3.44</v>
      </c>
      <c r="K271" s="196">
        <f t="shared" si="31"/>
        <v>2</v>
      </c>
      <c r="L271" s="196">
        <f t="shared" si="32"/>
        <v>0.8</v>
      </c>
    </row>
    <row r="272" spans="1:12" x14ac:dyDescent="0.25">
      <c r="A272" s="196">
        <f t="shared" si="29"/>
        <v>11.041666666666666</v>
      </c>
      <c r="C272" s="268">
        <v>265</v>
      </c>
      <c r="D272" s="272">
        <f t="shared" ref="D272:D318" si="33">D8*K272</f>
        <v>43162.258020757879</v>
      </c>
      <c r="E272" s="264">
        <f t="shared" si="28"/>
        <v>336</v>
      </c>
      <c r="F272" s="264">
        <f t="shared" si="28"/>
        <v>27.52</v>
      </c>
      <c r="G272" s="264">
        <f t="shared" si="28"/>
        <v>3.44</v>
      </c>
      <c r="K272" s="196">
        <f t="shared" si="31"/>
        <v>2</v>
      </c>
      <c r="L272" s="196">
        <f t="shared" si="32"/>
        <v>0.8</v>
      </c>
    </row>
    <row r="273" spans="1:12" x14ac:dyDescent="0.25">
      <c r="A273" s="196">
        <f t="shared" si="29"/>
        <v>11.083333333333334</v>
      </c>
      <c r="C273" s="268">
        <v>266</v>
      </c>
      <c r="D273" s="272">
        <f t="shared" si="33"/>
        <v>40225.638733437205</v>
      </c>
      <c r="E273" s="264">
        <f t="shared" si="28"/>
        <v>336</v>
      </c>
      <c r="F273" s="264">
        <f t="shared" si="28"/>
        <v>27.52</v>
      </c>
      <c r="G273" s="264">
        <f t="shared" si="28"/>
        <v>3.44</v>
      </c>
      <c r="K273" s="196">
        <f t="shared" si="31"/>
        <v>2</v>
      </c>
      <c r="L273" s="196">
        <f t="shared" si="32"/>
        <v>0.8</v>
      </c>
    </row>
    <row r="274" spans="1:12" x14ac:dyDescent="0.25">
      <c r="A274" s="196">
        <f t="shared" si="29"/>
        <v>11.125</v>
      </c>
      <c r="C274" s="268">
        <v>267</v>
      </c>
      <c r="D274" s="272">
        <f t="shared" si="33"/>
        <v>38012.826063846645</v>
      </c>
      <c r="E274" s="264">
        <f t="shared" si="28"/>
        <v>336</v>
      </c>
      <c r="F274" s="264">
        <f t="shared" si="28"/>
        <v>27.52</v>
      </c>
      <c r="G274" s="264">
        <f t="shared" si="28"/>
        <v>3.44</v>
      </c>
      <c r="K274" s="196">
        <f t="shared" si="31"/>
        <v>2</v>
      </c>
      <c r="L274" s="196">
        <f t="shared" si="32"/>
        <v>0.8</v>
      </c>
    </row>
    <row r="275" spans="1:12" x14ac:dyDescent="0.25">
      <c r="A275" s="196">
        <f t="shared" si="29"/>
        <v>11.166666666666666</v>
      </c>
      <c r="C275" s="268">
        <v>268</v>
      </c>
      <c r="D275" s="272">
        <f t="shared" si="33"/>
        <v>37076.192908840727</v>
      </c>
      <c r="E275" s="264">
        <f t="shared" si="28"/>
        <v>336</v>
      </c>
      <c r="F275" s="264">
        <f t="shared" si="28"/>
        <v>27.52</v>
      </c>
      <c r="G275" s="264">
        <f t="shared" si="28"/>
        <v>3.44</v>
      </c>
      <c r="K275" s="196">
        <f t="shared" si="31"/>
        <v>2</v>
      </c>
      <c r="L275" s="196">
        <f t="shared" si="32"/>
        <v>0.8</v>
      </c>
    </row>
    <row r="276" spans="1:12" x14ac:dyDescent="0.25">
      <c r="A276" s="196">
        <f t="shared" si="29"/>
        <v>11.208333333333334</v>
      </c>
      <c r="C276" s="268">
        <v>269</v>
      </c>
      <c r="D276" s="272">
        <f t="shared" si="33"/>
        <v>37721.56010887822</v>
      </c>
      <c r="E276" s="264">
        <f t="shared" si="28"/>
        <v>336</v>
      </c>
      <c r="F276" s="264">
        <f t="shared" si="28"/>
        <v>27.52</v>
      </c>
      <c r="G276" s="264">
        <f t="shared" si="28"/>
        <v>3.44</v>
      </c>
      <c r="K276" s="196">
        <f t="shared" si="31"/>
        <v>2</v>
      </c>
      <c r="L276" s="196">
        <f t="shared" si="32"/>
        <v>0.8</v>
      </c>
    </row>
    <row r="277" spans="1:12" x14ac:dyDescent="0.25">
      <c r="A277" s="196">
        <f t="shared" si="29"/>
        <v>11.25</v>
      </c>
      <c r="C277" s="268">
        <v>270</v>
      </c>
      <c r="D277" s="272">
        <f t="shared" si="33"/>
        <v>39922.514013304266</v>
      </c>
      <c r="E277" s="264">
        <f t="shared" si="28"/>
        <v>336</v>
      </c>
      <c r="F277" s="264">
        <f t="shared" si="28"/>
        <v>27.52</v>
      </c>
      <c r="G277" s="264">
        <f t="shared" si="28"/>
        <v>3.44</v>
      </c>
      <c r="K277" s="196">
        <f t="shared" si="31"/>
        <v>2</v>
      </c>
      <c r="L277" s="196">
        <f t="shared" si="32"/>
        <v>0.8</v>
      </c>
    </row>
    <row r="278" spans="1:12" x14ac:dyDescent="0.25">
      <c r="A278" s="196">
        <f t="shared" si="29"/>
        <v>11.291666666666666</v>
      </c>
      <c r="C278" s="268">
        <v>271</v>
      </c>
      <c r="D278" s="272">
        <f t="shared" si="33"/>
        <v>43317.499448119248</v>
      </c>
      <c r="E278" s="264">
        <f t="shared" si="28"/>
        <v>336</v>
      </c>
      <c r="F278" s="264">
        <f t="shared" si="28"/>
        <v>27.52</v>
      </c>
      <c r="G278" s="264">
        <f t="shared" si="28"/>
        <v>3.44</v>
      </c>
      <c r="K278" s="196">
        <f t="shared" si="31"/>
        <v>2</v>
      </c>
      <c r="L278" s="196">
        <f t="shared" si="32"/>
        <v>0.8</v>
      </c>
    </row>
    <row r="279" spans="1:12" x14ac:dyDescent="0.25">
      <c r="A279" s="196">
        <f t="shared" si="29"/>
        <v>11.333333333333334</v>
      </c>
      <c r="C279" s="268">
        <v>272</v>
      </c>
      <c r="D279" s="272">
        <f t="shared" si="33"/>
        <v>47291.147453659432</v>
      </c>
      <c r="E279" s="264">
        <f t="shared" si="28"/>
        <v>336</v>
      </c>
      <c r="F279" s="264">
        <f t="shared" si="28"/>
        <v>27.52</v>
      </c>
      <c r="G279" s="264">
        <f t="shared" si="28"/>
        <v>3.44</v>
      </c>
      <c r="K279" s="196">
        <f t="shared" si="31"/>
        <v>2</v>
      </c>
      <c r="L279" s="196">
        <f t="shared" si="32"/>
        <v>0.8</v>
      </c>
    </row>
    <row r="280" spans="1:12" x14ac:dyDescent="0.25">
      <c r="A280" s="196">
        <f t="shared" si="29"/>
        <v>11.375</v>
      </c>
      <c r="C280" s="268">
        <v>273</v>
      </c>
      <c r="D280" s="272">
        <f t="shared" si="33"/>
        <v>51119.105843645186</v>
      </c>
      <c r="E280" s="264">
        <f t="shared" si="28"/>
        <v>336</v>
      </c>
      <c r="F280" s="264">
        <f t="shared" si="28"/>
        <v>27.52</v>
      </c>
      <c r="G280" s="264">
        <f t="shared" si="28"/>
        <v>3.44</v>
      </c>
      <c r="K280" s="196">
        <f t="shared" si="31"/>
        <v>2</v>
      </c>
      <c r="L280" s="196">
        <f t="shared" si="32"/>
        <v>0.8</v>
      </c>
    </row>
    <row r="281" spans="1:12" x14ac:dyDescent="0.25">
      <c r="A281" s="196">
        <f t="shared" si="29"/>
        <v>11.416666666666666</v>
      </c>
      <c r="C281" s="268">
        <v>274</v>
      </c>
      <c r="D281" s="272">
        <f t="shared" si="33"/>
        <v>54138.932209531558</v>
      </c>
      <c r="E281" s="264">
        <f t="shared" si="28"/>
        <v>336</v>
      </c>
      <c r="F281" s="264">
        <f t="shared" si="28"/>
        <v>27.52</v>
      </c>
      <c r="G281" s="264">
        <f t="shared" si="28"/>
        <v>3.44</v>
      </c>
      <c r="K281" s="196">
        <f t="shared" si="31"/>
        <v>2</v>
      </c>
      <c r="L281" s="196">
        <f t="shared" si="32"/>
        <v>0.8</v>
      </c>
    </row>
    <row r="282" spans="1:12" x14ac:dyDescent="0.25">
      <c r="A282" s="196">
        <f t="shared" si="29"/>
        <v>11.458333333333334</v>
      </c>
      <c r="C282" s="268">
        <v>275</v>
      </c>
      <c r="D282" s="272">
        <f t="shared" si="33"/>
        <v>55902.839536177817</v>
      </c>
      <c r="E282" s="264">
        <f t="shared" si="28"/>
        <v>336</v>
      </c>
      <c r="F282" s="264">
        <f t="shared" si="28"/>
        <v>27.52</v>
      </c>
      <c r="G282" s="264">
        <f t="shared" si="28"/>
        <v>3.44</v>
      </c>
      <c r="K282" s="196">
        <f t="shared" si="31"/>
        <v>2</v>
      </c>
      <c r="L282" s="196">
        <f t="shared" si="32"/>
        <v>0.8</v>
      </c>
    </row>
    <row r="283" spans="1:12" x14ac:dyDescent="0.25">
      <c r="A283" s="196">
        <f t="shared" si="29"/>
        <v>11.5</v>
      </c>
      <c r="C283" s="268">
        <v>276</v>
      </c>
      <c r="D283" s="272">
        <f t="shared" si="33"/>
        <v>56273.053396759758</v>
      </c>
      <c r="E283" s="264">
        <f t="shared" si="28"/>
        <v>336</v>
      </c>
      <c r="F283" s="264">
        <f t="shared" si="28"/>
        <v>27.52</v>
      </c>
      <c r="G283" s="264">
        <f t="shared" si="28"/>
        <v>3.44</v>
      </c>
      <c r="K283" s="196">
        <f t="shared" si="31"/>
        <v>2</v>
      </c>
      <c r="L283" s="196">
        <f t="shared" si="32"/>
        <v>0.8</v>
      </c>
    </row>
    <row r="284" spans="1:12" x14ac:dyDescent="0.25">
      <c r="A284" s="196">
        <f t="shared" si="29"/>
        <v>11.541666666666666</v>
      </c>
      <c r="C284" s="268">
        <v>277</v>
      </c>
      <c r="D284" s="272">
        <f t="shared" si="33"/>
        <v>55435.90813114732</v>
      </c>
      <c r="E284" s="264">
        <f t="shared" si="28"/>
        <v>336</v>
      </c>
      <c r="F284" s="264">
        <f t="shared" si="28"/>
        <v>27.52</v>
      </c>
      <c r="G284" s="264">
        <f t="shared" si="28"/>
        <v>3.44</v>
      </c>
      <c r="K284" s="196">
        <f t="shared" si="31"/>
        <v>2</v>
      </c>
      <c r="L284" s="196">
        <f t="shared" si="32"/>
        <v>0.8</v>
      </c>
    </row>
    <row r="285" spans="1:12" x14ac:dyDescent="0.25">
      <c r="A285" s="196">
        <f t="shared" si="29"/>
        <v>11.583333333333334</v>
      </c>
      <c r="C285" s="268">
        <v>278</v>
      </c>
      <c r="D285" s="272">
        <f t="shared" si="33"/>
        <v>53832.460118503863</v>
      </c>
      <c r="E285" s="264">
        <f t="shared" si="28"/>
        <v>336</v>
      </c>
      <c r="F285" s="264">
        <f t="shared" si="28"/>
        <v>27.52</v>
      </c>
      <c r="G285" s="264">
        <f t="shared" si="28"/>
        <v>3.44</v>
      </c>
      <c r="K285" s="196">
        <f t="shared" si="31"/>
        <v>2</v>
      </c>
      <c r="L285" s="196">
        <f t="shared" si="32"/>
        <v>0.8</v>
      </c>
    </row>
    <row r="286" spans="1:12" x14ac:dyDescent="0.25">
      <c r="A286" s="196">
        <f t="shared" si="29"/>
        <v>11.625</v>
      </c>
      <c r="C286" s="268">
        <v>279</v>
      </c>
      <c r="D286" s="272">
        <f t="shared" si="33"/>
        <v>52025.536332533731</v>
      </c>
      <c r="E286" s="264">
        <f t="shared" si="28"/>
        <v>336</v>
      </c>
      <c r="F286" s="264">
        <f t="shared" si="28"/>
        <v>27.52</v>
      </c>
      <c r="G286" s="264">
        <f t="shared" si="28"/>
        <v>3.44</v>
      </c>
      <c r="K286" s="196">
        <f t="shared" si="31"/>
        <v>2</v>
      </c>
      <c r="L286" s="196">
        <f t="shared" si="32"/>
        <v>0.8</v>
      </c>
    </row>
    <row r="287" spans="1:12" x14ac:dyDescent="0.25">
      <c r="A287" s="196">
        <f t="shared" si="29"/>
        <v>11.666666666666666</v>
      </c>
      <c r="C287" s="268">
        <v>280</v>
      </c>
      <c r="D287" s="272">
        <f t="shared" si="33"/>
        <v>50539.849013435858</v>
      </c>
      <c r="E287" s="264">
        <f t="shared" si="28"/>
        <v>336</v>
      </c>
      <c r="F287" s="264">
        <f t="shared" si="28"/>
        <v>27.52</v>
      </c>
      <c r="G287" s="264">
        <f t="shared" si="28"/>
        <v>3.44</v>
      </c>
      <c r="K287" s="196">
        <f t="shared" si="31"/>
        <v>2</v>
      </c>
      <c r="L287" s="196">
        <f t="shared" si="32"/>
        <v>0.8</v>
      </c>
    </row>
    <row r="288" spans="1:12" x14ac:dyDescent="0.25">
      <c r="A288" s="196">
        <f t="shared" si="29"/>
        <v>11.708333333333334</v>
      </c>
      <c r="C288" s="268">
        <v>281</v>
      </c>
      <c r="D288" s="272">
        <f t="shared" si="33"/>
        <v>49718.636135596964</v>
      </c>
      <c r="E288" s="264">
        <f t="shared" si="28"/>
        <v>336</v>
      </c>
      <c r="F288" s="264">
        <f t="shared" si="28"/>
        <v>27.52</v>
      </c>
      <c r="G288" s="264">
        <f t="shared" si="28"/>
        <v>3.44</v>
      </c>
      <c r="K288" s="196">
        <f t="shared" si="31"/>
        <v>2</v>
      </c>
      <c r="L288" s="196">
        <f t="shared" si="32"/>
        <v>0.8</v>
      </c>
    </row>
    <row r="289" spans="1:12" x14ac:dyDescent="0.25">
      <c r="A289" s="196">
        <f t="shared" si="29"/>
        <v>11.75</v>
      </c>
      <c r="C289" s="268">
        <v>282</v>
      </c>
      <c r="D289" s="272">
        <f t="shared" si="33"/>
        <v>49635.429057031273</v>
      </c>
      <c r="E289" s="264">
        <f t="shared" si="28"/>
        <v>336</v>
      </c>
      <c r="F289" s="264">
        <f t="shared" si="28"/>
        <v>27.52</v>
      </c>
      <c r="G289" s="264">
        <f t="shared" si="28"/>
        <v>3.44</v>
      </c>
      <c r="K289" s="196">
        <f t="shared" si="31"/>
        <v>2</v>
      </c>
      <c r="L289" s="196">
        <f t="shared" si="32"/>
        <v>0.8</v>
      </c>
    </row>
    <row r="290" spans="1:12" x14ac:dyDescent="0.25">
      <c r="A290" s="196">
        <f t="shared" si="29"/>
        <v>11.791666666666666</v>
      </c>
      <c r="C290" s="268">
        <v>283</v>
      </c>
      <c r="D290" s="272">
        <f t="shared" si="33"/>
        <v>50084.33439997556</v>
      </c>
      <c r="E290" s="264">
        <f t="shared" si="28"/>
        <v>336</v>
      </c>
      <c r="F290" s="264">
        <f t="shared" si="28"/>
        <v>27.52</v>
      </c>
      <c r="G290" s="264">
        <f t="shared" si="28"/>
        <v>3.44</v>
      </c>
      <c r="K290" s="196">
        <f t="shared" si="31"/>
        <v>2</v>
      </c>
      <c r="L290" s="196">
        <f t="shared" si="32"/>
        <v>0.8</v>
      </c>
    </row>
    <row r="291" spans="1:12" x14ac:dyDescent="0.25">
      <c r="A291" s="196">
        <f t="shared" si="29"/>
        <v>11.833333333333334</v>
      </c>
      <c r="C291" s="268">
        <v>284</v>
      </c>
      <c r="D291" s="272">
        <f t="shared" si="33"/>
        <v>50650.753694399522</v>
      </c>
      <c r="E291" s="264">
        <f t="shared" si="28"/>
        <v>336</v>
      </c>
      <c r="F291" s="264">
        <f t="shared" si="28"/>
        <v>27.52</v>
      </c>
      <c r="G291" s="264">
        <f t="shared" si="28"/>
        <v>3.44</v>
      </c>
      <c r="K291" s="196">
        <f t="shared" si="31"/>
        <v>2</v>
      </c>
      <c r="L291" s="196">
        <f t="shared" si="32"/>
        <v>0.8</v>
      </c>
    </row>
    <row r="292" spans="1:12" x14ac:dyDescent="0.25">
      <c r="A292" s="196">
        <f t="shared" si="29"/>
        <v>11.875</v>
      </c>
      <c r="C292" s="268">
        <v>285</v>
      </c>
      <c r="D292" s="272">
        <f t="shared" si="33"/>
        <v>50842.531759974423</v>
      </c>
      <c r="E292" s="264">
        <f t="shared" si="28"/>
        <v>336</v>
      </c>
      <c r="F292" s="264">
        <f t="shared" si="28"/>
        <v>27.52</v>
      </c>
      <c r="G292" s="264">
        <f t="shared" si="28"/>
        <v>3.44</v>
      </c>
      <c r="K292" s="196">
        <f t="shared" si="31"/>
        <v>2</v>
      </c>
      <c r="L292" s="196">
        <f t="shared" si="32"/>
        <v>0.8</v>
      </c>
    </row>
    <row r="293" spans="1:12" x14ac:dyDescent="0.25">
      <c r="A293" s="196">
        <f t="shared" si="29"/>
        <v>11.916666666666666</v>
      </c>
      <c r="C293" s="268">
        <v>286</v>
      </c>
      <c r="D293" s="272">
        <f t="shared" si="33"/>
        <v>50245.02586819182</v>
      </c>
      <c r="E293" s="264">
        <f t="shared" si="28"/>
        <v>336</v>
      </c>
      <c r="F293" s="264">
        <f t="shared" si="28"/>
        <v>27.52</v>
      </c>
      <c r="G293" s="264">
        <f t="shared" si="28"/>
        <v>3.44</v>
      </c>
      <c r="K293" s="196">
        <f t="shared" si="31"/>
        <v>2</v>
      </c>
      <c r="L293" s="196">
        <f t="shared" si="32"/>
        <v>0.8</v>
      </c>
    </row>
    <row r="294" spans="1:12" x14ac:dyDescent="0.25">
      <c r="A294" s="196">
        <f t="shared" si="29"/>
        <v>11.958333333333334</v>
      </c>
      <c r="C294" s="268">
        <v>287</v>
      </c>
      <c r="D294" s="272">
        <f t="shared" si="33"/>
        <v>48656.964219346941</v>
      </c>
      <c r="E294" s="264">
        <f t="shared" si="28"/>
        <v>336</v>
      </c>
      <c r="F294" s="264">
        <f t="shared" si="28"/>
        <v>27.52</v>
      </c>
      <c r="G294" s="264">
        <f t="shared" si="28"/>
        <v>3.44</v>
      </c>
      <c r="K294" s="196">
        <f t="shared" si="31"/>
        <v>2</v>
      </c>
      <c r="L294" s="196">
        <f t="shared" si="32"/>
        <v>0.8</v>
      </c>
    </row>
    <row r="295" spans="1:12" x14ac:dyDescent="0.25">
      <c r="A295" s="196">
        <f t="shared" si="29"/>
        <v>12</v>
      </c>
      <c r="C295" s="268">
        <v>288</v>
      </c>
      <c r="D295" s="272">
        <f t="shared" si="33"/>
        <v>46169.003532904724</v>
      </c>
      <c r="E295" s="264">
        <f t="shared" si="28"/>
        <v>336</v>
      </c>
      <c r="F295" s="264">
        <f t="shared" si="28"/>
        <v>27.52</v>
      </c>
      <c r="G295" s="264">
        <f t="shared" si="28"/>
        <v>3.44</v>
      </c>
      <c r="K295" s="196">
        <f t="shared" si="31"/>
        <v>2</v>
      </c>
      <c r="L295" s="196">
        <f t="shared" si="32"/>
        <v>0.8</v>
      </c>
    </row>
    <row r="296" spans="1:12" x14ac:dyDescent="0.25">
      <c r="A296" s="196">
        <f t="shared" si="29"/>
        <v>12.041666666666666</v>
      </c>
      <c r="C296" s="268">
        <v>289</v>
      </c>
      <c r="D296" s="272">
        <f t="shared" si="33"/>
        <v>43162.258020757879</v>
      </c>
      <c r="E296" s="264">
        <f t="shared" ref="E296:G359" si="34">E$3*$L296</f>
        <v>336</v>
      </c>
      <c r="F296" s="264">
        <f t="shared" si="34"/>
        <v>27.52</v>
      </c>
      <c r="G296" s="264">
        <f t="shared" si="34"/>
        <v>3.44</v>
      </c>
      <c r="K296" s="196">
        <f t="shared" si="31"/>
        <v>2</v>
      </c>
      <c r="L296" s="196">
        <f t="shared" si="32"/>
        <v>0.8</v>
      </c>
    </row>
    <row r="297" spans="1:12" x14ac:dyDescent="0.25">
      <c r="A297" s="196">
        <f t="shared" si="29"/>
        <v>12.083333333333334</v>
      </c>
      <c r="C297" s="268">
        <v>290</v>
      </c>
      <c r="D297" s="272">
        <f t="shared" si="33"/>
        <v>40225.638733437205</v>
      </c>
      <c r="E297" s="264">
        <f t="shared" si="34"/>
        <v>336</v>
      </c>
      <c r="F297" s="264">
        <f t="shared" si="34"/>
        <v>27.52</v>
      </c>
      <c r="G297" s="264">
        <f t="shared" si="34"/>
        <v>3.44</v>
      </c>
      <c r="K297" s="196">
        <f t="shared" si="31"/>
        <v>2</v>
      </c>
      <c r="L297" s="196">
        <f t="shared" si="32"/>
        <v>0.8</v>
      </c>
    </row>
    <row r="298" spans="1:12" x14ac:dyDescent="0.25">
      <c r="A298" s="196">
        <f t="shared" si="29"/>
        <v>12.125</v>
      </c>
      <c r="C298" s="268">
        <v>291</v>
      </c>
      <c r="D298" s="272">
        <f t="shared" si="33"/>
        <v>38012.826063846645</v>
      </c>
      <c r="E298" s="264">
        <f t="shared" si="34"/>
        <v>336</v>
      </c>
      <c r="F298" s="264">
        <f t="shared" si="34"/>
        <v>27.52</v>
      </c>
      <c r="G298" s="264">
        <f t="shared" si="34"/>
        <v>3.44</v>
      </c>
      <c r="K298" s="196">
        <f t="shared" si="31"/>
        <v>2</v>
      </c>
      <c r="L298" s="196">
        <f t="shared" si="32"/>
        <v>0.8</v>
      </c>
    </row>
    <row r="299" spans="1:12" x14ac:dyDescent="0.25">
      <c r="A299" s="196">
        <f t="shared" si="29"/>
        <v>12.166666666666666</v>
      </c>
      <c r="C299" s="268">
        <v>292</v>
      </c>
      <c r="D299" s="272">
        <f t="shared" si="33"/>
        <v>37076.192908840727</v>
      </c>
      <c r="E299" s="264">
        <f t="shared" si="34"/>
        <v>336</v>
      </c>
      <c r="F299" s="264">
        <f t="shared" si="34"/>
        <v>27.52</v>
      </c>
      <c r="G299" s="264">
        <f t="shared" si="34"/>
        <v>3.44</v>
      </c>
      <c r="K299" s="196">
        <f t="shared" si="31"/>
        <v>2</v>
      </c>
      <c r="L299" s="196">
        <f t="shared" si="32"/>
        <v>0.8</v>
      </c>
    </row>
    <row r="300" spans="1:12" x14ac:dyDescent="0.25">
      <c r="A300" s="196">
        <f t="shared" si="29"/>
        <v>12.208333333333334</v>
      </c>
      <c r="C300" s="268">
        <v>293</v>
      </c>
      <c r="D300" s="272">
        <f t="shared" si="33"/>
        <v>37721.56010887822</v>
      </c>
      <c r="E300" s="264">
        <f t="shared" si="34"/>
        <v>336</v>
      </c>
      <c r="F300" s="264">
        <f t="shared" si="34"/>
        <v>27.52</v>
      </c>
      <c r="G300" s="264">
        <f t="shared" si="34"/>
        <v>3.44</v>
      </c>
      <c r="K300" s="196">
        <f t="shared" si="31"/>
        <v>2</v>
      </c>
      <c r="L300" s="196">
        <f t="shared" si="32"/>
        <v>0.8</v>
      </c>
    </row>
    <row r="301" spans="1:12" x14ac:dyDescent="0.25">
      <c r="A301" s="196">
        <f t="shared" si="29"/>
        <v>12.25</v>
      </c>
      <c r="C301" s="268">
        <v>294</v>
      </c>
      <c r="D301" s="272">
        <f t="shared" si="33"/>
        <v>39922.514013304266</v>
      </c>
      <c r="E301" s="264">
        <f t="shared" si="34"/>
        <v>336</v>
      </c>
      <c r="F301" s="264">
        <f t="shared" si="34"/>
        <v>27.52</v>
      </c>
      <c r="G301" s="264">
        <f t="shared" si="34"/>
        <v>3.44</v>
      </c>
      <c r="K301" s="196">
        <f t="shared" si="31"/>
        <v>2</v>
      </c>
      <c r="L301" s="196">
        <f t="shared" si="32"/>
        <v>0.8</v>
      </c>
    </row>
    <row r="302" spans="1:12" x14ac:dyDescent="0.25">
      <c r="A302" s="196">
        <f t="shared" si="29"/>
        <v>12.291666666666666</v>
      </c>
      <c r="C302" s="268">
        <v>295</v>
      </c>
      <c r="D302" s="272">
        <f t="shared" si="33"/>
        <v>43317.499448119248</v>
      </c>
      <c r="E302" s="264">
        <f t="shared" si="34"/>
        <v>336</v>
      </c>
      <c r="F302" s="264">
        <f t="shared" si="34"/>
        <v>27.52</v>
      </c>
      <c r="G302" s="264">
        <f t="shared" si="34"/>
        <v>3.44</v>
      </c>
      <c r="K302" s="196">
        <f t="shared" si="31"/>
        <v>2</v>
      </c>
      <c r="L302" s="196">
        <f t="shared" si="32"/>
        <v>0.8</v>
      </c>
    </row>
    <row r="303" spans="1:12" x14ac:dyDescent="0.25">
      <c r="A303" s="196">
        <f t="shared" si="29"/>
        <v>12.333333333333334</v>
      </c>
      <c r="C303" s="268">
        <v>296</v>
      </c>
      <c r="D303" s="272">
        <f t="shared" si="33"/>
        <v>47291.147453659432</v>
      </c>
      <c r="E303" s="264">
        <f t="shared" si="34"/>
        <v>336</v>
      </c>
      <c r="F303" s="264">
        <f t="shared" si="34"/>
        <v>27.52</v>
      </c>
      <c r="G303" s="264">
        <f t="shared" si="34"/>
        <v>3.44</v>
      </c>
      <c r="K303" s="196">
        <f t="shared" si="31"/>
        <v>2</v>
      </c>
      <c r="L303" s="196">
        <f t="shared" si="32"/>
        <v>0.8</v>
      </c>
    </row>
    <row r="304" spans="1:12" x14ac:dyDescent="0.25">
      <c r="A304" s="196">
        <f t="shared" si="29"/>
        <v>12.375</v>
      </c>
      <c r="C304" s="268">
        <v>297</v>
      </c>
      <c r="D304" s="272">
        <f t="shared" si="33"/>
        <v>51119.105843645186</v>
      </c>
      <c r="E304" s="264">
        <f t="shared" si="34"/>
        <v>336</v>
      </c>
      <c r="F304" s="264">
        <f t="shared" si="34"/>
        <v>27.52</v>
      </c>
      <c r="G304" s="264">
        <f t="shared" si="34"/>
        <v>3.44</v>
      </c>
      <c r="K304" s="196">
        <f t="shared" si="31"/>
        <v>2</v>
      </c>
      <c r="L304" s="196">
        <f t="shared" si="32"/>
        <v>0.8</v>
      </c>
    </row>
    <row r="305" spans="1:14" x14ac:dyDescent="0.25">
      <c r="A305" s="196">
        <f t="shared" si="29"/>
        <v>12.416666666666666</v>
      </c>
      <c r="C305" s="268">
        <v>298</v>
      </c>
      <c r="D305" s="272">
        <f t="shared" si="33"/>
        <v>54138.932209531558</v>
      </c>
      <c r="E305" s="264">
        <f t="shared" si="34"/>
        <v>336</v>
      </c>
      <c r="F305" s="264">
        <f t="shared" si="34"/>
        <v>27.52</v>
      </c>
      <c r="G305" s="264">
        <f t="shared" si="34"/>
        <v>3.44</v>
      </c>
      <c r="K305" s="196">
        <f t="shared" si="31"/>
        <v>2</v>
      </c>
      <c r="L305" s="196">
        <f t="shared" si="32"/>
        <v>0.8</v>
      </c>
    </row>
    <row r="306" spans="1:14" x14ac:dyDescent="0.25">
      <c r="A306" s="196">
        <f t="shared" si="29"/>
        <v>12.458333333333334</v>
      </c>
      <c r="C306" s="268">
        <v>299</v>
      </c>
      <c r="D306" s="272">
        <f t="shared" si="33"/>
        <v>55902.839536177817</v>
      </c>
      <c r="E306" s="264">
        <f t="shared" si="34"/>
        <v>336</v>
      </c>
      <c r="F306" s="264">
        <f t="shared" si="34"/>
        <v>27.52</v>
      </c>
      <c r="G306" s="264">
        <f t="shared" si="34"/>
        <v>3.44</v>
      </c>
      <c r="K306" s="196">
        <f t="shared" si="31"/>
        <v>2</v>
      </c>
      <c r="L306" s="196">
        <f t="shared" si="32"/>
        <v>0.8</v>
      </c>
    </row>
    <row r="307" spans="1:14" x14ac:dyDescent="0.25">
      <c r="A307" s="196">
        <f t="shared" si="29"/>
        <v>12.5</v>
      </c>
      <c r="C307" s="268">
        <v>300</v>
      </c>
      <c r="D307" s="272">
        <f t="shared" si="33"/>
        <v>56273.053396759758</v>
      </c>
      <c r="E307" s="264">
        <f t="shared" si="34"/>
        <v>336</v>
      </c>
      <c r="F307" s="264">
        <f t="shared" si="34"/>
        <v>27.52</v>
      </c>
      <c r="G307" s="264">
        <f t="shared" si="34"/>
        <v>3.44</v>
      </c>
      <c r="K307" s="196">
        <f t="shared" si="31"/>
        <v>2</v>
      </c>
      <c r="L307" s="196">
        <f t="shared" si="32"/>
        <v>0.8</v>
      </c>
    </row>
    <row r="308" spans="1:14" x14ac:dyDescent="0.25">
      <c r="A308" s="196">
        <f t="shared" si="29"/>
        <v>12.541666666666666</v>
      </c>
      <c r="C308" s="268">
        <v>301</v>
      </c>
      <c r="D308" s="272">
        <f t="shared" si="33"/>
        <v>55435.90813114732</v>
      </c>
      <c r="E308" s="264">
        <f t="shared" si="34"/>
        <v>336</v>
      </c>
      <c r="F308" s="264">
        <f t="shared" si="34"/>
        <v>27.52</v>
      </c>
      <c r="G308" s="264">
        <f t="shared" si="34"/>
        <v>3.44</v>
      </c>
      <c r="K308" s="196">
        <f t="shared" si="31"/>
        <v>2</v>
      </c>
      <c r="L308" s="196">
        <f t="shared" si="32"/>
        <v>0.8</v>
      </c>
    </row>
    <row r="309" spans="1:14" x14ac:dyDescent="0.25">
      <c r="A309" s="196">
        <f t="shared" si="29"/>
        <v>12.583333333333334</v>
      </c>
      <c r="C309" s="268">
        <v>302</v>
      </c>
      <c r="D309" s="272">
        <f t="shared" si="33"/>
        <v>53832.460118503863</v>
      </c>
      <c r="E309" s="264">
        <f t="shared" si="34"/>
        <v>336</v>
      </c>
      <c r="F309" s="264">
        <f t="shared" si="34"/>
        <v>27.52</v>
      </c>
      <c r="G309" s="264">
        <f t="shared" si="34"/>
        <v>3.44</v>
      </c>
      <c r="K309" s="196">
        <f t="shared" si="31"/>
        <v>2</v>
      </c>
      <c r="L309" s="196">
        <f t="shared" si="32"/>
        <v>0.8</v>
      </c>
    </row>
    <row r="310" spans="1:14" x14ac:dyDescent="0.25">
      <c r="A310" s="196">
        <f t="shared" si="29"/>
        <v>12.625</v>
      </c>
      <c r="C310" s="268">
        <v>303</v>
      </c>
      <c r="D310" s="272">
        <f t="shared" si="33"/>
        <v>52025.536332533731</v>
      </c>
      <c r="E310" s="264">
        <f t="shared" si="34"/>
        <v>336</v>
      </c>
      <c r="F310" s="264">
        <f t="shared" si="34"/>
        <v>27.52</v>
      </c>
      <c r="G310" s="264">
        <f t="shared" si="34"/>
        <v>3.44</v>
      </c>
      <c r="K310" s="196">
        <f t="shared" si="31"/>
        <v>2</v>
      </c>
      <c r="L310" s="196">
        <f t="shared" si="32"/>
        <v>0.8</v>
      </c>
    </row>
    <row r="311" spans="1:14" x14ac:dyDescent="0.25">
      <c r="A311" s="196">
        <f t="shared" si="29"/>
        <v>12.666666666666666</v>
      </c>
      <c r="C311" s="268">
        <v>304</v>
      </c>
      <c r="D311" s="272">
        <f t="shared" si="33"/>
        <v>50539.849013435858</v>
      </c>
      <c r="E311" s="264">
        <f t="shared" si="34"/>
        <v>336</v>
      </c>
      <c r="F311" s="264">
        <f t="shared" si="34"/>
        <v>27.52</v>
      </c>
      <c r="G311" s="264">
        <f t="shared" si="34"/>
        <v>3.44</v>
      </c>
      <c r="K311" s="196">
        <f t="shared" si="31"/>
        <v>2</v>
      </c>
      <c r="L311" s="196">
        <f t="shared" si="32"/>
        <v>0.8</v>
      </c>
    </row>
    <row r="312" spans="1:14" x14ac:dyDescent="0.25">
      <c r="A312" s="196">
        <f t="shared" si="29"/>
        <v>12.708333333333334</v>
      </c>
      <c r="C312" s="268">
        <v>305</v>
      </c>
      <c r="D312" s="272">
        <f t="shared" si="33"/>
        <v>49718.636135596964</v>
      </c>
      <c r="E312" s="264">
        <f t="shared" si="34"/>
        <v>336</v>
      </c>
      <c r="F312" s="264">
        <f t="shared" si="34"/>
        <v>27.52</v>
      </c>
      <c r="G312" s="264">
        <f t="shared" si="34"/>
        <v>3.44</v>
      </c>
      <c r="K312" s="196">
        <f t="shared" si="31"/>
        <v>2</v>
      </c>
      <c r="L312" s="196">
        <f t="shared" si="32"/>
        <v>0.8</v>
      </c>
    </row>
    <row r="313" spans="1:14" x14ac:dyDescent="0.25">
      <c r="A313" s="196">
        <f t="shared" si="29"/>
        <v>12.75</v>
      </c>
      <c r="C313" s="268">
        <v>306</v>
      </c>
      <c r="D313" s="272">
        <f t="shared" si="33"/>
        <v>49635.429057031273</v>
      </c>
      <c r="E313" s="264">
        <f t="shared" si="34"/>
        <v>336</v>
      </c>
      <c r="F313" s="264">
        <f t="shared" si="34"/>
        <v>27.52</v>
      </c>
      <c r="G313" s="264">
        <f t="shared" si="34"/>
        <v>3.44</v>
      </c>
      <c r="K313" s="196">
        <f t="shared" si="31"/>
        <v>2</v>
      </c>
      <c r="L313" s="196">
        <f t="shared" si="32"/>
        <v>0.8</v>
      </c>
    </row>
    <row r="314" spans="1:14" x14ac:dyDescent="0.25">
      <c r="A314" s="196">
        <f t="shared" si="29"/>
        <v>12.791666666666666</v>
      </c>
      <c r="C314" s="268">
        <v>307</v>
      </c>
      <c r="D314" s="272">
        <f t="shared" si="33"/>
        <v>50084.33439997556</v>
      </c>
      <c r="E314" s="264">
        <f t="shared" si="34"/>
        <v>336</v>
      </c>
      <c r="F314" s="264">
        <f t="shared" si="34"/>
        <v>27.52</v>
      </c>
      <c r="G314" s="264">
        <f t="shared" si="34"/>
        <v>3.44</v>
      </c>
      <c r="K314" s="196">
        <f t="shared" si="31"/>
        <v>2</v>
      </c>
      <c r="L314" s="196">
        <f t="shared" si="32"/>
        <v>0.8</v>
      </c>
    </row>
    <row r="315" spans="1:14" x14ac:dyDescent="0.25">
      <c r="A315" s="196">
        <f t="shared" si="29"/>
        <v>12.833333333333334</v>
      </c>
      <c r="C315" s="268">
        <v>308</v>
      </c>
      <c r="D315" s="272">
        <f t="shared" si="33"/>
        <v>50650.753694399522</v>
      </c>
      <c r="E315" s="264">
        <f t="shared" si="34"/>
        <v>336</v>
      </c>
      <c r="F315" s="264">
        <f t="shared" si="34"/>
        <v>27.52</v>
      </c>
      <c r="G315" s="264">
        <f t="shared" si="34"/>
        <v>3.44</v>
      </c>
      <c r="K315" s="196">
        <f t="shared" si="31"/>
        <v>2</v>
      </c>
      <c r="L315" s="196">
        <f t="shared" si="32"/>
        <v>0.8</v>
      </c>
    </row>
    <row r="316" spans="1:14" x14ac:dyDescent="0.25">
      <c r="A316" s="196">
        <f t="shared" si="29"/>
        <v>12.875</v>
      </c>
      <c r="C316" s="268">
        <v>309</v>
      </c>
      <c r="D316" s="272">
        <f t="shared" si="33"/>
        <v>50842.531759974423</v>
      </c>
      <c r="E316" s="264">
        <f t="shared" si="34"/>
        <v>336</v>
      </c>
      <c r="F316" s="264">
        <f t="shared" si="34"/>
        <v>27.52</v>
      </c>
      <c r="G316" s="264">
        <f t="shared" si="34"/>
        <v>3.44</v>
      </c>
      <c r="K316" s="196">
        <f t="shared" si="31"/>
        <v>2</v>
      </c>
      <c r="L316" s="196">
        <f t="shared" si="32"/>
        <v>0.8</v>
      </c>
    </row>
    <row r="317" spans="1:14" x14ac:dyDescent="0.25">
      <c r="A317" s="196">
        <f t="shared" si="29"/>
        <v>12.916666666666666</v>
      </c>
      <c r="C317" s="268">
        <v>310</v>
      </c>
      <c r="D317" s="272">
        <f t="shared" si="33"/>
        <v>50245.02586819182</v>
      </c>
      <c r="E317" s="264">
        <f t="shared" si="34"/>
        <v>336</v>
      </c>
      <c r="F317" s="264">
        <f t="shared" si="34"/>
        <v>27.52</v>
      </c>
      <c r="G317" s="264">
        <f t="shared" si="34"/>
        <v>3.44</v>
      </c>
      <c r="K317" s="196">
        <f t="shared" si="31"/>
        <v>2</v>
      </c>
      <c r="L317" s="196">
        <f t="shared" si="32"/>
        <v>0.8</v>
      </c>
    </row>
    <row r="318" spans="1:14" x14ac:dyDescent="0.25">
      <c r="A318" s="196">
        <f t="shared" si="29"/>
        <v>12.958333333333334</v>
      </c>
      <c r="C318" s="268">
        <v>311</v>
      </c>
      <c r="D318" s="272">
        <f t="shared" si="33"/>
        <v>48656.964219346941</v>
      </c>
      <c r="E318" s="264">
        <f t="shared" si="34"/>
        <v>336</v>
      </c>
      <c r="F318" s="264">
        <f t="shared" si="34"/>
        <v>27.52</v>
      </c>
      <c r="G318" s="264">
        <f t="shared" si="34"/>
        <v>3.44</v>
      </c>
      <c r="K318" s="196">
        <f t="shared" si="31"/>
        <v>2</v>
      </c>
      <c r="L318" s="196">
        <f t="shared" si="32"/>
        <v>0.8</v>
      </c>
    </row>
    <row r="319" spans="1:14" x14ac:dyDescent="0.25">
      <c r="A319" s="196">
        <f t="shared" si="29"/>
        <v>13</v>
      </c>
      <c r="C319" s="266">
        <v>312</v>
      </c>
      <c r="D319" s="267">
        <f>D7*K319</f>
        <v>23084.501766452362</v>
      </c>
      <c r="E319" s="263">
        <f t="shared" si="34"/>
        <v>420</v>
      </c>
      <c r="F319" s="263">
        <f t="shared" si="34"/>
        <v>34.4</v>
      </c>
      <c r="G319" s="263">
        <f t="shared" si="34"/>
        <v>4.3</v>
      </c>
      <c r="K319">
        <f>$T$20</f>
        <v>1</v>
      </c>
      <c r="L319" s="196">
        <f>$U$20</f>
        <v>1</v>
      </c>
      <c r="N319" t="s">
        <v>310</v>
      </c>
    </row>
    <row r="320" spans="1:14" x14ac:dyDescent="0.25">
      <c r="A320" s="196">
        <f t="shared" si="29"/>
        <v>13.041666666666666</v>
      </c>
      <c r="C320" s="266">
        <v>313</v>
      </c>
      <c r="D320" s="267">
        <f t="shared" ref="D320:D383" si="35">D8*K320</f>
        <v>21581.12901037894</v>
      </c>
      <c r="E320" s="263">
        <f t="shared" si="34"/>
        <v>420</v>
      </c>
      <c r="F320" s="263">
        <f t="shared" si="34"/>
        <v>34.4</v>
      </c>
      <c r="G320" s="263">
        <f t="shared" si="34"/>
        <v>4.3</v>
      </c>
      <c r="K320" s="196">
        <f t="shared" ref="K320:K383" si="36">$T$20</f>
        <v>1</v>
      </c>
      <c r="L320" s="196">
        <f t="shared" ref="L320:L383" si="37">$U$20</f>
        <v>1</v>
      </c>
    </row>
    <row r="321" spans="1:12" x14ac:dyDescent="0.25">
      <c r="A321" s="196">
        <f t="shared" si="29"/>
        <v>13.083333333333334</v>
      </c>
      <c r="C321" s="266">
        <v>314</v>
      </c>
      <c r="D321" s="267">
        <f t="shared" si="35"/>
        <v>20112.819366718602</v>
      </c>
      <c r="E321" s="263">
        <f t="shared" si="34"/>
        <v>420</v>
      </c>
      <c r="F321" s="263">
        <f t="shared" si="34"/>
        <v>34.4</v>
      </c>
      <c r="G321" s="263">
        <f t="shared" si="34"/>
        <v>4.3</v>
      </c>
      <c r="K321" s="196">
        <f t="shared" si="36"/>
        <v>1</v>
      </c>
      <c r="L321" s="196">
        <f t="shared" si="37"/>
        <v>1</v>
      </c>
    </row>
    <row r="322" spans="1:12" x14ac:dyDescent="0.25">
      <c r="A322" s="196">
        <f t="shared" si="29"/>
        <v>13.125</v>
      </c>
      <c r="C322" s="266">
        <v>315</v>
      </c>
      <c r="D322" s="267">
        <f t="shared" si="35"/>
        <v>19006.413031923323</v>
      </c>
      <c r="E322" s="263">
        <f t="shared" si="34"/>
        <v>420</v>
      </c>
      <c r="F322" s="263">
        <f t="shared" si="34"/>
        <v>34.4</v>
      </c>
      <c r="G322" s="263">
        <f t="shared" si="34"/>
        <v>4.3</v>
      </c>
      <c r="K322" s="196">
        <f t="shared" si="36"/>
        <v>1</v>
      </c>
      <c r="L322" s="196">
        <f t="shared" si="37"/>
        <v>1</v>
      </c>
    </row>
    <row r="323" spans="1:12" x14ac:dyDescent="0.25">
      <c r="A323" s="196">
        <f t="shared" si="29"/>
        <v>13.166666666666666</v>
      </c>
      <c r="C323" s="266">
        <v>316</v>
      </c>
      <c r="D323" s="267">
        <f t="shared" si="35"/>
        <v>18538.096454420363</v>
      </c>
      <c r="E323" s="263">
        <f t="shared" si="34"/>
        <v>420</v>
      </c>
      <c r="F323" s="263">
        <f t="shared" si="34"/>
        <v>34.4</v>
      </c>
      <c r="G323" s="263">
        <f t="shared" si="34"/>
        <v>4.3</v>
      </c>
      <c r="K323" s="196">
        <f t="shared" si="36"/>
        <v>1</v>
      </c>
      <c r="L323" s="196">
        <f t="shared" si="37"/>
        <v>1</v>
      </c>
    </row>
    <row r="324" spans="1:12" x14ac:dyDescent="0.25">
      <c r="A324" s="196">
        <f t="shared" si="29"/>
        <v>13.208333333333334</v>
      </c>
      <c r="C324" s="266">
        <v>317</v>
      </c>
      <c r="D324" s="267">
        <f t="shared" si="35"/>
        <v>18860.78005443911</v>
      </c>
      <c r="E324" s="263">
        <f t="shared" si="34"/>
        <v>420</v>
      </c>
      <c r="F324" s="263">
        <f t="shared" si="34"/>
        <v>34.4</v>
      </c>
      <c r="G324" s="263">
        <f t="shared" si="34"/>
        <v>4.3</v>
      </c>
      <c r="K324" s="196">
        <f t="shared" si="36"/>
        <v>1</v>
      </c>
      <c r="L324" s="196">
        <f t="shared" si="37"/>
        <v>1</v>
      </c>
    </row>
    <row r="325" spans="1:12" x14ac:dyDescent="0.25">
      <c r="A325" s="196">
        <f t="shared" si="29"/>
        <v>13.25</v>
      </c>
      <c r="C325" s="266">
        <v>318</v>
      </c>
      <c r="D325" s="267">
        <f t="shared" si="35"/>
        <v>19961.257006652133</v>
      </c>
      <c r="E325" s="263">
        <f t="shared" si="34"/>
        <v>420</v>
      </c>
      <c r="F325" s="263">
        <f t="shared" si="34"/>
        <v>34.4</v>
      </c>
      <c r="G325" s="263">
        <f t="shared" si="34"/>
        <v>4.3</v>
      </c>
      <c r="K325" s="196">
        <f t="shared" si="36"/>
        <v>1</v>
      </c>
      <c r="L325" s="196">
        <f t="shared" si="37"/>
        <v>1</v>
      </c>
    </row>
    <row r="326" spans="1:12" x14ac:dyDescent="0.25">
      <c r="A326" s="196">
        <f t="shared" si="29"/>
        <v>13.291666666666666</v>
      </c>
      <c r="C326" s="266">
        <v>319</v>
      </c>
      <c r="D326" s="267">
        <f t="shared" si="35"/>
        <v>21658.749724059624</v>
      </c>
      <c r="E326" s="263">
        <f t="shared" si="34"/>
        <v>420</v>
      </c>
      <c r="F326" s="263">
        <f t="shared" si="34"/>
        <v>34.4</v>
      </c>
      <c r="G326" s="263">
        <f t="shared" si="34"/>
        <v>4.3</v>
      </c>
      <c r="K326" s="196">
        <f t="shared" si="36"/>
        <v>1</v>
      </c>
      <c r="L326" s="196">
        <f t="shared" si="37"/>
        <v>1</v>
      </c>
    </row>
    <row r="327" spans="1:12" x14ac:dyDescent="0.25">
      <c r="A327" s="196">
        <f t="shared" si="29"/>
        <v>13.333333333333334</v>
      </c>
      <c r="C327" s="266">
        <v>320</v>
      </c>
      <c r="D327" s="267">
        <f t="shared" si="35"/>
        <v>23645.573726829716</v>
      </c>
      <c r="E327" s="263">
        <f t="shared" si="34"/>
        <v>420</v>
      </c>
      <c r="F327" s="263">
        <f t="shared" si="34"/>
        <v>34.4</v>
      </c>
      <c r="G327" s="263">
        <f t="shared" si="34"/>
        <v>4.3</v>
      </c>
      <c r="K327" s="196">
        <f t="shared" si="36"/>
        <v>1</v>
      </c>
      <c r="L327" s="196">
        <f t="shared" si="37"/>
        <v>1</v>
      </c>
    </row>
    <row r="328" spans="1:12" x14ac:dyDescent="0.25">
      <c r="A328" s="196">
        <f t="shared" ref="A328:A390" si="38">C328/24</f>
        <v>13.375</v>
      </c>
      <c r="C328" s="266">
        <v>321</v>
      </c>
      <c r="D328" s="267">
        <f t="shared" si="35"/>
        <v>25559.552921822593</v>
      </c>
      <c r="E328" s="263">
        <f t="shared" si="34"/>
        <v>420</v>
      </c>
      <c r="F328" s="263">
        <f t="shared" si="34"/>
        <v>34.4</v>
      </c>
      <c r="G328" s="263">
        <f t="shared" si="34"/>
        <v>4.3</v>
      </c>
      <c r="K328" s="196">
        <f t="shared" si="36"/>
        <v>1</v>
      </c>
      <c r="L328" s="196">
        <f t="shared" si="37"/>
        <v>1</v>
      </c>
    </row>
    <row r="329" spans="1:12" x14ac:dyDescent="0.25">
      <c r="A329" s="196">
        <f t="shared" si="38"/>
        <v>13.416666666666666</v>
      </c>
      <c r="C329" s="266">
        <v>322</v>
      </c>
      <c r="D329" s="267">
        <f t="shared" si="35"/>
        <v>27069.466104765779</v>
      </c>
      <c r="E329" s="263">
        <f t="shared" si="34"/>
        <v>420</v>
      </c>
      <c r="F329" s="263">
        <f t="shared" si="34"/>
        <v>34.4</v>
      </c>
      <c r="G329" s="263">
        <f t="shared" si="34"/>
        <v>4.3</v>
      </c>
      <c r="K329" s="196">
        <f t="shared" si="36"/>
        <v>1</v>
      </c>
      <c r="L329" s="196">
        <f t="shared" si="37"/>
        <v>1</v>
      </c>
    </row>
    <row r="330" spans="1:12" x14ac:dyDescent="0.25">
      <c r="A330" s="196">
        <f t="shared" si="38"/>
        <v>13.458333333333334</v>
      </c>
      <c r="C330" s="266">
        <v>323</v>
      </c>
      <c r="D330" s="267">
        <f t="shared" si="35"/>
        <v>27951.419768088908</v>
      </c>
      <c r="E330" s="263">
        <f t="shared" si="34"/>
        <v>420</v>
      </c>
      <c r="F330" s="263">
        <f t="shared" si="34"/>
        <v>34.4</v>
      </c>
      <c r="G330" s="263">
        <f t="shared" si="34"/>
        <v>4.3</v>
      </c>
      <c r="K330" s="196">
        <f t="shared" si="36"/>
        <v>1</v>
      </c>
      <c r="L330" s="196">
        <f t="shared" si="37"/>
        <v>1</v>
      </c>
    </row>
    <row r="331" spans="1:12" x14ac:dyDescent="0.25">
      <c r="A331" s="196">
        <f t="shared" si="38"/>
        <v>13.5</v>
      </c>
      <c r="C331" s="266">
        <v>324</v>
      </c>
      <c r="D331" s="267">
        <f t="shared" si="35"/>
        <v>28136.526698379879</v>
      </c>
      <c r="E331" s="263">
        <f t="shared" si="34"/>
        <v>420</v>
      </c>
      <c r="F331" s="263">
        <f t="shared" si="34"/>
        <v>34.4</v>
      </c>
      <c r="G331" s="263">
        <f t="shared" si="34"/>
        <v>4.3</v>
      </c>
      <c r="K331" s="196">
        <f t="shared" si="36"/>
        <v>1</v>
      </c>
      <c r="L331" s="196">
        <f t="shared" si="37"/>
        <v>1</v>
      </c>
    </row>
    <row r="332" spans="1:12" x14ac:dyDescent="0.25">
      <c r="A332" s="196">
        <f t="shared" si="38"/>
        <v>13.541666666666666</v>
      </c>
      <c r="C332" s="266">
        <v>325</v>
      </c>
      <c r="D332" s="267">
        <f t="shared" si="35"/>
        <v>27717.95406557366</v>
      </c>
      <c r="E332" s="263">
        <f t="shared" si="34"/>
        <v>420</v>
      </c>
      <c r="F332" s="263">
        <f t="shared" si="34"/>
        <v>34.4</v>
      </c>
      <c r="G332" s="263">
        <f t="shared" si="34"/>
        <v>4.3</v>
      </c>
      <c r="K332" s="196">
        <f t="shared" si="36"/>
        <v>1</v>
      </c>
      <c r="L332" s="196">
        <f t="shared" si="37"/>
        <v>1</v>
      </c>
    </row>
    <row r="333" spans="1:12" x14ac:dyDescent="0.25">
      <c r="A333" s="196">
        <f t="shared" si="38"/>
        <v>13.583333333333334</v>
      </c>
      <c r="C333" s="266">
        <v>326</v>
      </c>
      <c r="D333" s="267">
        <f t="shared" si="35"/>
        <v>26916.230059251931</v>
      </c>
      <c r="E333" s="263">
        <f t="shared" si="34"/>
        <v>420</v>
      </c>
      <c r="F333" s="263">
        <f t="shared" si="34"/>
        <v>34.4</v>
      </c>
      <c r="G333" s="263">
        <f t="shared" si="34"/>
        <v>4.3</v>
      </c>
      <c r="K333" s="196">
        <f t="shared" si="36"/>
        <v>1</v>
      </c>
      <c r="L333" s="196">
        <f t="shared" si="37"/>
        <v>1</v>
      </c>
    </row>
    <row r="334" spans="1:12" x14ac:dyDescent="0.25">
      <c r="A334" s="196">
        <f t="shared" si="38"/>
        <v>13.625</v>
      </c>
      <c r="C334" s="266">
        <v>327</v>
      </c>
      <c r="D334" s="267">
        <f t="shared" si="35"/>
        <v>26012.768166266866</v>
      </c>
      <c r="E334" s="263">
        <f t="shared" si="34"/>
        <v>420</v>
      </c>
      <c r="F334" s="263">
        <f t="shared" si="34"/>
        <v>34.4</v>
      </c>
      <c r="G334" s="263">
        <f t="shared" si="34"/>
        <v>4.3</v>
      </c>
      <c r="K334" s="196">
        <f t="shared" si="36"/>
        <v>1</v>
      </c>
      <c r="L334" s="196">
        <f t="shared" si="37"/>
        <v>1</v>
      </c>
    </row>
    <row r="335" spans="1:12" x14ac:dyDescent="0.25">
      <c r="A335" s="196">
        <f t="shared" si="38"/>
        <v>13.666666666666666</v>
      </c>
      <c r="C335" s="266">
        <v>328</v>
      </c>
      <c r="D335" s="267">
        <f t="shared" si="35"/>
        <v>25269.924506717929</v>
      </c>
      <c r="E335" s="263">
        <f t="shared" si="34"/>
        <v>420</v>
      </c>
      <c r="F335" s="263">
        <f t="shared" si="34"/>
        <v>34.4</v>
      </c>
      <c r="G335" s="263">
        <f t="shared" si="34"/>
        <v>4.3</v>
      </c>
      <c r="K335" s="196">
        <f t="shared" si="36"/>
        <v>1</v>
      </c>
      <c r="L335" s="196">
        <f t="shared" si="37"/>
        <v>1</v>
      </c>
    </row>
    <row r="336" spans="1:12" x14ac:dyDescent="0.25">
      <c r="A336" s="196">
        <f t="shared" si="38"/>
        <v>13.708333333333334</v>
      </c>
      <c r="C336" s="266">
        <v>329</v>
      </c>
      <c r="D336" s="267">
        <f t="shared" si="35"/>
        <v>24859.318067798482</v>
      </c>
      <c r="E336" s="263">
        <f t="shared" si="34"/>
        <v>420</v>
      </c>
      <c r="F336" s="263">
        <f t="shared" si="34"/>
        <v>34.4</v>
      </c>
      <c r="G336" s="263">
        <f t="shared" si="34"/>
        <v>4.3</v>
      </c>
      <c r="K336" s="196">
        <f t="shared" si="36"/>
        <v>1</v>
      </c>
      <c r="L336" s="196">
        <f t="shared" si="37"/>
        <v>1</v>
      </c>
    </row>
    <row r="337" spans="1:12" x14ac:dyDescent="0.25">
      <c r="A337" s="196">
        <f t="shared" si="38"/>
        <v>13.75</v>
      </c>
      <c r="C337" s="266">
        <v>330</v>
      </c>
      <c r="D337" s="267">
        <f t="shared" si="35"/>
        <v>24817.714528515637</v>
      </c>
      <c r="E337" s="263">
        <f t="shared" si="34"/>
        <v>420</v>
      </c>
      <c r="F337" s="263">
        <f t="shared" si="34"/>
        <v>34.4</v>
      </c>
      <c r="G337" s="263">
        <f t="shared" si="34"/>
        <v>4.3</v>
      </c>
      <c r="K337" s="196">
        <f t="shared" si="36"/>
        <v>1</v>
      </c>
      <c r="L337" s="196">
        <f t="shared" si="37"/>
        <v>1</v>
      </c>
    </row>
    <row r="338" spans="1:12" x14ac:dyDescent="0.25">
      <c r="A338" s="196">
        <f t="shared" si="38"/>
        <v>13.791666666666666</v>
      </c>
      <c r="C338" s="266">
        <v>331</v>
      </c>
      <c r="D338" s="267">
        <f t="shared" si="35"/>
        <v>25042.16719998778</v>
      </c>
      <c r="E338" s="263">
        <f t="shared" si="34"/>
        <v>420</v>
      </c>
      <c r="F338" s="263">
        <f t="shared" si="34"/>
        <v>34.4</v>
      </c>
      <c r="G338" s="263">
        <f t="shared" si="34"/>
        <v>4.3</v>
      </c>
      <c r="K338" s="196">
        <f t="shared" si="36"/>
        <v>1</v>
      </c>
      <c r="L338" s="196">
        <f t="shared" si="37"/>
        <v>1</v>
      </c>
    </row>
    <row r="339" spans="1:12" x14ac:dyDescent="0.25">
      <c r="A339" s="196">
        <f t="shared" si="38"/>
        <v>13.833333333333334</v>
      </c>
      <c r="C339" s="266">
        <v>332</v>
      </c>
      <c r="D339" s="267">
        <f t="shared" si="35"/>
        <v>25325.376847199761</v>
      </c>
      <c r="E339" s="263">
        <f t="shared" si="34"/>
        <v>420</v>
      </c>
      <c r="F339" s="263">
        <f t="shared" si="34"/>
        <v>34.4</v>
      </c>
      <c r="G339" s="263">
        <f t="shared" si="34"/>
        <v>4.3</v>
      </c>
      <c r="K339" s="196">
        <f t="shared" si="36"/>
        <v>1</v>
      </c>
      <c r="L339" s="196">
        <f t="shared" si="37"/>
        <v>1</v>
      </c>
    </row>
    <row r="340" spans="1:12" x14ac:dyDescent="0.25">
      <c r="A340" s="196">
        <f t="shared" si="38"/>
        <v>13.875</v>
      </c>
      <c r="C340" s="266">
        <v>333</v>
      </c>
      <c r="D340" s="267">
        <f t="shared" si="35"/>
        <v>25421.265879987212</v>
      </c>
      <c r="E340" s="263">
        <f t="shared" si="34"/>
        <v>420</v>
      </c>
      <c r="F340" s="263">
        <f t="shared" si="34"/>
        <v>34.4</v>
      </c>
      <c r="G340" s="263">
        <f t="shared" si="34"/>
        <v>4.3</v>
      </c>
      <c r="K340" s="196">
        <f t="shared" si="36"/>
        <v>1</v>
      </c>
      <c r="L340" s="196">
        <f t="shared" si="37"/>
        <v>1</v>
      </c>
    </row>
    <row r="341" spans="1:12" x14ac:dyDescent="0.25">
      <c r="A341" s="196">
        <f t="shared" si="38"/>
        <v>13.916666666666666</v>
      </c>
      <c r="C341" s="266">
        <v>334</v>
      </c>
      <c r="D341" s="267">
        <f t="shared" si="35"/>
        <v>25122.51293409591</v>
      </c>
      <c r="E341" s="263">
        <f t="shared" si="34"/>
        <v>420</v>
      </c>
      <c r="F341" s="263">
        <f t="shared" si="34"/>
        <v>34.4</v>
      </c>
      <c r="G341" s="263">
        <f t="shared" si="34"/>
        <v>4.3</v>
      </c>
      <c r="K341" s="196">
        <f t="shared" si="36"/>
        <v>1</v>
      </c>
      <c r="L341" s="196">
        <f t="shared" si="37"/>
        <v>1</v>
      </c>
    </row>
    <row r="342" spans="1:12" x14ac:dyDescent="0.25">
      <c r="A342" s="196">
        <f t="shared" si="38"/>
        <v>13.958333333333334</v>
      </c>
      <c r="C342" s="266">
        <v>335</v>
      </c>
      <c r="D342" s="267">
        <f t="shared" si="35"/>
        <v>24328.48210967347</v>
      </c>
      <c r="E342" s="263">
        <f t="shared" si="34"/>
        <v>420</v>
      </c>
      <c r="F342" s="263">
        <f t="shared" si="34"/>
        <v>34.4</v>
      </c>
      <c r="G342" s="263">
        <f t="shared" si="34"/>
        <v>4.3</v>
      </c>
      <c r="K342" s="196">
        <f t="shared" si="36"/>
        <v>1</v>
      </c>
      <c r="L342" s="196">
        <f t="shared" si="37"/>
        <v>1</v>
      </c>
    </row>
    <row r="343" spans="1:12" x14ac:dyDescent="0.25">
      <c r="A343" s="196">
        <f t="shared" si="38"/>
        <v>14</v>
      </c>
      <c r="C343" s="266">
        <v>336</v>
      </c>
      <c r="D343" s="267">
        <f t="shared" si="35"/>
        <v>23084.501766452362</v>
      </c>
      <c r="E343" s="263">
        <f t="shared" si="34"/>
        <v>420</v>
      </c>
      <c r="F343" s="263">
        <f t="shared" si="34"/>
        <v>34.4</v>
      </c>
      <c r="G343" s="263">
        <f t="shared" si="34"/>
        <v>4.3</v>
      </c>
      <c r="K343" s="196">
        <f t="shared" si="36"/>
        <v>1</v>
      </c>
      <c r="L343" s="196">
        <f t="shared" si="37"/>
        <v>1</v>
      </c>
    </row>
    <row r="344" spans="1:12" x14ac:dyDescent="0.25">
      <c r="A344" s="196">
        <f t="shared" si="38"/>
        <v>14.041666666666666</v>
      </c>
      <c r="C344" s="266">
        <v>337</v>
      </c>
      <c r="D344" s="267">
        <f t="shared" si="35"/>
        <v>21581.12901037894</v>
      </c>
      <c r="E344" s="263">
        <f t="shared" si="34"/>
        <v>420</v>
      </c>
      <c r="F344" s="263">
        <f t="shared" si="34"/>
        <v>34.4</v>
      </c>
      <c r="G344" s="263">
        <f t="shared" si="34"/>
        <v>4.3</v>
      </c>
      <c r="K344" s="196">
        <f t="shared" si="36"/>
        <v>1</v>
      </c>
      <c r="L344" s="196">
        <f t="shared" si="37"/>
        <v>1</v>
      </c>
    </row>
    <row r="345" spans="1:12" x14ac:dyDescent="0.25">
      <c r="A345" s="196">
        <f t="shared" si="38"/>
        <v>14.083333333333334</v>
      </c>
      <c r="C345" s="266">
        <v>338</v>
      </c>
      <c r="D345" s="267">
        <f t="shared" si="35"/>
        <v>20112.819366718602</v>
      </c>
      <c r="E345" s="263">
        <f t="shared" si="34"/>
        <v>420</v>
      </c>
      <c r="F345" s="263">
        <f t="shared" si="34"/>
        <v>34.4</v>
      </c>
      <c r="G345" s="263">
        <f t="shared" si="34"/>
        <v>4.3</v>
      </c>
      <c r="K345" s="196">
        <f t="shared" si="36"/>
        <v>1</v>
      </c>
      <c r="L345" s="196">
        <f t="shared" si="37"/>
        <v>1</v>
      </c>
    </row>
    <row r="346" spans="1:12" x14ac:dyDescent="0.25">
      <c r="A346" s="196">
        <f t="shared" si="38"/>
        <v>14.125</v>
      </c>
      <c r="C346" s="266">
        <v>339</v>
      </c>
      <c r="D346" s="267">
        <f t="shared" si="35"/>
        <v>19006.413031923323</v>
      </c>
      <c r="E346" s="263">
        <f t="shared" si="34"/>
        <v>420</v>
      </c>
      <c r="F346" s="263">
        <f t="shared" si="34"/>
        <v>34.4</v>
      </c>
      <c r="G346" s="263">
        <f t="shared" si="34"/>
        <v>4.3</v>
      </c>
      <c r="K346" s="196">
        <f t="shared" si="36"/>
        <v>1</v>
      </c>
      <c r="L346" s="196">
        <f t="shared" si="37"/>
        <v>1</v>
      </c>
    </row>
    <row r="347" spans="1:12" x14ac:dyDescent="0.25">
      <c r="A347" s="196">
        <f t="shared" si="38"/>
        <v>14.166666666666666</v>
      </c>
      <c r="C347" s="266">
        <v>340</v>
      </c>
      <c r="D347" s="267">
        <f t="shared" si="35"/>
        <v>18538.096454420363</v>
      </c>
      <c r="E347" s="263">
        <f t="shared" si="34"/>
        <v>420</v>
      </c>
      <c r="F347" s="263">
        <f t="shared" si="34"/>
        <v>34.4</v>
      </c>
      <c r="G347" s="263">
        <f t="shared" si="34"/>
        <v>4.3</v>
      </c>
      <c r="K347" s="196">
        <f t="shared" si="36"/>
        <v>1</v>
      </c>
      <c r="L347" s="196">
        <f t="shared" si="37"/>
        <v>1</v>
      </c>
    </row>
    <row r="348" spans="1:12" x14ac:dyDescent="0.25">
      <c r="A348" s="196">
        <f t="shared" si="38"/>
        <v>14.208333333333334</v>
      </c>
      <c r="C348" s="266">
        <v>341</v>
      </c>
      <c r="D348" s="267">
        <f t="shared" si="35"/>
        <v>18860.78005443911</v>
      </c>
      <c r="E348" s="263">
        <f t="shared" si="34"/>
        <v>420</v>
      </c>
      <c r="F348" s="263">
        <f t="shared" si="34"/>
        <v>34.4</v>
      </c>
      <c r="G348" s="263">
        <f t="shared" si="34"/>
        <v>4.3</v>
      </c>
      <c r="K348" s="196">
        <f t="shared" si="36"/>
        <v>1</v>
      </c>
      <c r="L348" s="196">
        <f t="shared" si="37"/>
        <v>1</v>
      </c>
    </row>
    <row r="349" spans="1:12" x14ac:dyDescent="0.25">
      <c r="A349" s="196">
        <f t="shared" si="38"/>
        <v>14.25</v>
      </c>
      <c r="C349" s="266">
        <v>342</v>
      </c>
      <c r="D349" s="267">
        <f t="shared" si="35"/>
        <v>19961.257006652133</v>
      </c>
      <c r="E349" s="263">
        <f t="shared" si="34"/>
        <v>420</v>
      </c>
      <c r="F349" s="263">
        <f t="shared" si="34"/>
        <v>34.4</v>
      </c>
      <c r="G349" s="263">
        <f t="shared" si="34"/>
        <v>4.3</v>
      </c>
      <c r="K349" s="196">
        <f t="shared" si="36"/>
        <v>1</v>
      </c>
      <c r="L349" s="196">
        <f t="shared" si="37"/>
        <v>1</v>
      </c>
    </row>
    <row r="350" spans="1:12" x14ac:dyDescent="0.25">
      <c r="A350" s="196">
        <f t="shared" si="38"/>
        <v>14.291666666666666</v>
      </c>
      <c r="C350" s="266">
        <v>343</v>
      </c>
      <c r="D350" s="267">
        <f t="shared" si="35"/>
        <v>21658.749724059624</v>
      </c>
      <c r="E350" s="263">
        <f t="shared" si="34"/>
        <v>420</v>
      </c>
      <c r="F350" s="263">
        <f t="shared" si="34"/>
        <v>34.4</v>
      </c>
      <c r="G350" s="263">
        <f t="shared" si="34"/>
        <v>4.3</v>
      </c>
      <c r="K350" s="196">
        <f t="shared" si="36"/>
        <v>1</v>
      </c>
      <c r="L350" s="196">
        <f t="shared" si="37"/>
        <v>1</v>
      </c>
    </row>
    <row r="351" spans="1:12" x14ac:dyDescent="0.25">
      <c r="A351" s="196">
        <f t="shared" si="38"/>
        <v>14.333333333333334</v>
      </c>
      <c r="C351" s="266">
        <v>344</v>
      </c>
      <c r="D351" s="267">
        <f t="shared" si="35"/>
        <v>23645.573726829716</v>
      </c>
      <c r="E351" s="263">
        <f t="shared" si="34"/>
        <v>420</v>
      </c>
      <c r="F351" s="263">
        <f t="shared" si="34"/>
        <v>34.4</v>
      </c>
      <c r="G351" s="263">
        <f t="shared" si="34"/>
        <v>4.3</v>
      </c>
      <c r="K351" s="196">
        <f t="shared" si="36"/>
        <v>1</v>
      </c>
      <c r="L351" s="196">
        <f t="shared" si="37"/>
        <v>1</v>
      </c>
    </row>
    <row r="352" spans="1:12" x14ac:dyDescent="0.25">
      <c r="A352" s="196">
        <f t="shared" si="38"/>
        <v>14.375</v>
      </c>
      <c r="C352" s="266">
        <v>345</v>
      </c>
      <c r="D352" s="267">
        <f t="shared" si="35"/>
        <v>25559.552921822593</v>
      </c>
      <c r="E352" s="263">
        <f t="shared" si="34"/>
        <v>420</v>
      </c>
      <c r="F352" s="263">
        <f t="shared" si="34"/>
        <v>34.4</v>
      </c>
      <c r="G352" s="263">
        <f t="shared" si="34"/>
        <v>4.3</v>
      </c>
      <c r="K352" s="196">
        <f t="shared" si="36"/>
        <v>1</v>
      </c>
      <c r="L352" s="196">
        <f t="shared" si="37"/>
        <v>1</v>
      </c>
    </row>
    <row r="353" spans="1:12" x14ac:dyDescent="0.25">
      <c r="A353" s="196">
        <f t="shared" si="38"/>
        <v>14.416666666666666</v>
      </c>
      <c r="C353" s="266">
        <v>346</v>
      </c>
      <c r="D353" s="267">
        <f t="shared" si="35"/>
        <v>27069.466104765779</v>
      </c>
      <c r="E353" s="263">
        <f t="shared" si="34"/>
        <v>420</v>
      </c>
      <c r="F353" s="263">
        <f t="shared" si="34"/>
        <v>34.4</v>
      </c>
      <c r="G353" s="263">
        <f t="shared" si="34"/>
        <v>4.3</v>
      </c>
      <c r="K353" s="196">
        <f t="shared" si="36"/>
        <v>1</v>
      </c>
      <c r="L353" s="196">
        <f t="shared" si="37"/>
        <v>1</v>
      </c>
    </row>
    <row r="354" spans="1:12" x14ac:dyDescent="0.25">
      <c r="A354" s="196">
        <f t="shared" si="38"/>
        <v>14.458333333333334</v>
      </c>
      <c r="C354" s="266">
        <v>347</v>
      </c>
      <c r="D354" s="267">
        <f t="shared" si="35"/>
        <v>27951.419768088908</v>
      </c>
      <c r="E354" s="263">
        <f t="shared" si="34"/>
        <v>420</v>
      </c>
      <c r="F354" s="263">
        <f t="shared" si="34"/>
        <v>34.4</v>
      </c>
      <c r="G354" s="263">
        <f t="shared" si="34"/>
        <v>4.3</v>
      </c>
      <c r="K354" s="196">
        <f t="shared" si="36"/>
        <v>1</v>
      </c>
      <c r="L354" s="196">
        <f t="shared" si="37"/>
        <v>1</v>
      </c>
    </row>
    <row r="355" spans="1:12" x14ac:dyDescent="0.25">
      <c r="A355" s="196">
        <f t="shared" si="38"/>
        <v>14.5</v>
      </c>
      <c r="C355" s="266">
        <v>348</v>
      </c>
      <c r="D355" s="267">
        <f t="shared" si="35"/>
        <v>28136.526698379879</v>
      </c>
      <c r="E355" s="263">
        <f t="shared" si="34"/>
        <v>420</v>
      </c>
      <c r="F355" s="263">
        <f t="shared" si="34"/>
        <v>34.4</v>
      </c>
      <c r="G355" s="263">
        <f t="shared" si="34"/>
        <v>4.3</v>
      </c>
      <c r="K355" s="196">
        <f t="shared" si="36"/>
        <v>1</v>
      </c>
      <c r="L355" s="196">
        <f t="shared" si="37"/>
        <v>1</v>
      </c>
    </row>
    <row r="356" spans="1:12" x14ac:dyDescent="0.25">
      <c r="A356" s="196">
        <f t="shared" si="38"/>
        <v>14.541666666666666</v>
      </c>
      <c r="C356" s="266">
        <v>349</v>
      </c>
      <c r="D356" s="267">
        <f t="shared" si="35"/>
        <v>27717.95406557366</v>
      </c>
      <c r="E356" s="263">
        <f t="shared" si="34"/>
        <v>420</v>
      </c>
      <c r="F356" s="263">
        <f t="shared" si="34"/>
        <v>34.4</v>
      </c>
      <c r="G356" s="263">
        <f t="shared" si="34"/>
        <v>4.3</v>
      </c>
      <c r="K356" s="196">
        <f t="shared" si="36"/>
        <v>1</v>
      </c>
      <c r="L356" s="196">
        <f t="shared" si="37"/>
        <v>1</v>
      </c>
    </row>
    <row r="357" spans="1:12" x14ac:dyDescent="0.25">
      <c r="A357" s="196">
        <f t="shared" si="38"/>
        <v>14.583333333333334</v>
      </c>
      <c r="C357" s="266">
        <v>350</v>
      </c>
      <c r="D357" s="267">
        <f t="shared" si="35"/>
        <v>26916.230059251931</v>
      </c>
      <c r="E357" s="263">
        <f t="shared" si="34"/>
        <v>420</v>
      </c>
      <c r="F357" s="263">
        <f t="shared" si="34"/>
        <v>34.4</v>
      </c>
      <c r="G357" s="263">
        <f t="shared" si="34"/>
        <v>4.3</v>
      </c>
      <c r="K357" s="196">
        <f t="shared" si="36"/>
        <v>1</v>
      </c>
      <c r="L357" s="196">
        <f t="shared" si="37"/>
        <v>1</v>
      </c>
    </row>
    <row r="358" spans="1:12" x14ac:dyDescent="0.25">
      <c r="A358" s="196">
        <f t="shared" si="38"/>
        <v>14.625</v>
      </c>
      <c r="C358" s="266">
        <v>351</v>
      </c>
      <c r="D358" s="267">
        <f t="shared" si="35"/>
        <v>26012.768166266866</v>
      </c>
      <c r="E358" s="263">
        <f t="shared" si="34"/>
        <v>420</v>
      </c>
      <c r="F358" s="263">
        <f t="shared" si="34"/>
        <v>34.4</v>
      </c>
      <c r="G358" s="263">
        <f t="shared" si="34"/>
        <v>4.3</v>
      </c>
      <c r="K358" s="196">
        <f t="shared" si="36"/>
        <v>1</v>
      </c>
      <c r="L358" s="196">
        <f t="shared" si="37"/>
        <v>1</v>
      </c>
    </row>
    <row r="359" spans="1:12" x14ac:dyDescent="0.25">
      <c r="A359" s="196">
        <f t="shared" si="38"/>
        <v>14.666666666666666</v>
      </c>
      <c r="C359" s="266">
        <v>352</v>
      </c>
      <c r="D359" s="267">
        <f t="shared" si="35"/>
        <v>25269.924506717929</v>
      </c>
      <c r="E359" s="263">
        <f t="shared" si="34"/>
        <v>420</v>
      </c>
      <c r="F359" s="263">
        <f t="shared" si="34"/>
        <v>34.4</v>
      </c>
      <c r="G359" s="263">
        <f t="shared" si="34"/>
        <v>4.3</v>
      </c>
      <c r="K359" s="196">
        <f t="shared" si="36"/>
        <v>1</v>
      </c>
      <c r="L359" s="196">
        <f t="shared" si="37"/>
        <v>1</v>
      </c>
    </row>
    <row r="360" spans="1:12" x14ac:dyDescent="0.25">
      <c r="A360" s="196">
        <f t="shared" si="38"/>
        <v>14.708333333333334</v>
      </c>
      <c r="C360" s="266">
        <v>353</v>
      </c>
      <c r="D360" s="267">
        <f t="shared" si="35"/>
        <v>24859.318067798482</v>
      </c>
      <c r="E360" s="263">
        <f t="shared" ref="E360:G390" si="39">E$3*$L360</f>
        <v>420</v>
      </c>
      <c r="F360" s="263">
        <f t="shared" si="39"/>
        <v>34.4</v>
      </c>
      <c r="G360" s="263">
        <f t="shared" si="39"/>
        <v>4.3</v>
      </c>
      <c r="K360" s="196">
        <f t="shared" si="36"/>
        <v>1</v>
      </c>
      <c r="L360" s="196">
        <f t="shared" si="37"/>
        <v>1</v>
      </c>
    </row>
    <row r="361" spans="1:12" x14ac:dyDescent="0.25">
      <c r="A361" s="196">
        <f t="shared" si="38"/>
        <v>14.75</v>
      </c>
      <c r="C361" s="266">
        <v>354</v>
      </c>
      <c r="D361" s="267">
        <f t="shared" si="35"/>
        <v>24817.714528515637</v>
      </c>
      <c r="E361" s="263">
        <f t="shared" si="39"/>
        <v>420</v>
      </c>
      <c r="F361" s="263">
        <f t="shared" si="39"/>
        <v>34.4</v>
      </c>
      <c r="G361" s="263">
        <f t="shared" si="39"/>
        <v>4.3</v>
      </c>
      <c r="K361" s="196">
        <f t="shared" si="36"/>
        <v>1</v>
      </c>
      <c r="L361" s="196">
        <f t="shared" si="37"/>
        <v>1</v>
      </c>
    </row>
    <row r="362" spans="1:12" x14ac:dyDescent="0.25">
      <c r="A362" s="196">
        <f t="shared" si="38"/>
        <v>14.791666666666666</v>
      </c>
      <c r="C362" s="266">
        <v>355</v>
      </c>
      <c r="D362" s="267">
        <f t="shared" si="35"/>
        <v>25042.16719998778</v>
      </c>
      <c r="E362" s="263">
        <f t="shared" si="39"/>
        <v>420</v>
      </c>
      <c r="F362" s="263">
        <f t="shared" si="39"/>
        <v>34.4</v>
      </c>
      <c r="G362" s="263">
        <f t="shared" si="39"/>
        <v>4.3</v>
      </c>
      <c r="K362" s="196">
        <f t="shared" si="36"/>
        <v>1</v>
      </c>
      <c r="L362" s="196">
        <f t="shared" si="37"/>
        <v>1</v>
      </c>
    </row>
    <row r="363" spans="1:12" x14ac:dyDescent="0.25">
      <c r="A363" s="196">
        <f t="shared" si="38"/>
        <v>14.833333333333334</v>
      </c>
      <c r="C363" s="266">
        <v>356</v>
      </c>
      <c r="D363" s="267">
        <f t="shared" si="35"/>
        <v>25325.376847199761</v>
      </c>
      <c r="E363" s="263">
        <f t="shared" si="39"/>
        <v>420</v>
      </c>
      <c r="F363" s="263">
        <f t="shared" si="39"/>
        <v>34.4</v>
      </c>
      <c r="G363" s="263">
        <f t="shared" si="39"/>
        <v>4.3</v>
      </c>
      <c r="K363" s="196">
        <f t="shared" si="36"/>
        <v>1</v>
      </c>
      <c r="L363" s="196">
        <f t="shared" si="37"/>
        <v>1</v>
      </c>
    </row>
    <row r="364" spans="1:12" x14ac:dyDescent="0.25">
      <c r="A364" s="196">
        <f t="shared" si="38"/>
        <v>14.875</v>
      </c>
      <c r="C364" s="266">
        <v>357</v>
      </c>
      <c r="D364" s="267">
        <f t="shared" si="35"/>
        <v>25421.265879987212</v>
      </c>
      <c r="E364" s="263">
        <f t="shared" si="39"/>
        <v>420</v>
      </c>
      <c r="F364" s="263">
        <f t="shared" si="39"/>
        <v>34.4</v>
      </c>
      <c r="G364" s="263">
        <f t="shared" si="39"/>
        <v>4.3</v>
      </c>
      <c r="K364" s="196">
        <f t="shared" si="36"/>
        <v>1</v>
      </c>
      <c r="L364" s="196">
        <f t="shared" si="37"/>
        <v>1</v>
      </c>
    </row>
    <row r="365" spans="1:12" x14ac:dyDescent="0.25">
      <c r="A365" s="196">
        <f t="shared" si="38"/>
        <v>14.916666666666666</v>
      </c>
      <c r="C365" s="266">
        <v>358</v>
      </c>
      <c r="D365" s="267">
        <f t="shared" si="35"/>
        <v>25122.51293409591</v>
      </c>
      <c r="E365" s="263">
        <f t="shared" si="39"/>
        <v>420</v>
      </c>
      <c r="F365" s="263">
        <f t="shared" si="39"/>
        <v>34.4</v>
      </c>
      <c r="G365" s="263">
        <f t="shared" si="39"/>
        <v>4.3</v>
      </c>
      <c r="K365" s="196">
        <f t="shared" si="36"/>
        <v>1</v>
      </c>
      <c r="L365" s="196">
        <f t="shared" si="37"/>
        <v>1</v>
      </c>
    </row>
    <row r="366" spans="1:12" x14ac:dyDescent="0.25">
      <c r="A366" s="196">
        <f t="shared" si="38"/>
        <v>14.958333333333334</v>
      </c>
      <c r="C366" s="266">
        <v>359</v>
      </c>
      <c r="D366" s="267">
        <f t="shared" si="35"/>
        <v>24328.48210967347</v>
      </c>
      <c r="E366" s="263">
        <f t="shared" si="39"/>
        <v>420</v>
      </c>
      <c r="F366" s="263">
        <f t="shared" si="39"/>
        <v>34.4</v>
      </c>
      <c r="G366" s="263">
        <f t="shared" si="39"/>
        <v>4.3</v>
      </c>
      <c r="K366" s="196">
        <f t="shared" si="36"/>
        <v>1</v>
      </c>
      <c r="L366" s="196">
        <f t="shared" si="37"/>
        <v>1</v>
      </c>
    </row>
    <row r="367" spans="1:12" x14ac:dyDescent="0.25">
      <c r="A367" s="196">
        <f t="shared" si="38"/>
        <v>15</v>
      </c>
      <c r="C367" s="266">
        <v>360</v>
      </c>
      <c r="D367" s="267">
        <f t="shared" si="35"/>
        <v>23084.501766452362</v>
      </c>
      <c r="E367" s="263">
        <f t="shared" si="39"/>
        <v>420</v>
      </c>
      <c r="F367" s="263">
        <f t="shared" si="39"/>
        <v>34.4</v>
      </c>
      <c r="G367" s="263">
        <f t="shared" si="39"/>
        <v>4.3</v>
      </c>
      <c r="K367" s="196">
        <f t="shared" si="36"/>
        <v>1</v>
      </c>
      <c r="L367" s="196">
        <f t="shared" si="37"/>
        <v>1</v>
      </c>
    </row>
    <row r="368" spans="1:12" x14ac:dyDescent="0.25">
      <c r="A368" s="196">
        <f t="shared" si="38"/>
        <v>15.041666666666666</v>
      </c>
      <c r="C368" s="266">
        <v>361</v>
      </c>
      <c r="D368" s="267">
        <f t="shared" si="35"/>
        <v>21581.12901037894</v>
      </c>
      <c r="E368" s="263">
        <f t="shared" si="39"/>
        <v>420</v>
      </c>
      <c r="F368" s="263">
        <f t="shared" si="39"/>
        <v>34.4</v>
      </c>
      <c r="G368" s="263">
        <f t="shared" si="39"/>
        <v>4.3</v>
      </c>
      <c r="K368" s="196">
        <f t="shared" si="36"/>
        <v>1</v>
      </c>
      <c r="L368" s="196">
        <f t="shared" si="37"/>
        <v>1</v>
      </c>
    </row>
    <row r="369" spans="1:12" x14ac:dyDescent="0.25">
      <c r="A369" s="196">
        <f t="shared" si="38"/>
        <v>15.083333333333334</v>
      </c>
      <c r="C369" s="266">
        <v>362</v>
      </c>
      <c r="D369" s="267">
        <f t="shared" si="35"/>
        <v>20112.819366718602</v>
      </c>
      <c r="E369" s="263">
        <f t="shared" si="39"/>
        <v>420</v>
      </c>
      <c r="F369" s="263">
        <f t="shared" si="39"/>
        <v>34.4</v>
      </c>
      <c r="G369" s="263">
        <f t="shared" si="39"/>
        <v>4.3</v>
      </c>
      <c r="K369" s="196">
        <f t="shared" si="36"/>
        <v>1</v>
      </c>
      <c r="L369" s="196">
        <f t="shared" si="37"/>
        <v>1</v>
      </c>
    </row>
    <row r="370" spans="1:12" x14ac:dyDescent="0.25">
      <c r="A370" s="196">
        <f t="shared" si="38"/>
        <v>15.125</v>
      </c>
      <c r="C370" s="266">
        <v>363</v>
      </c>
      <c r="D370" s="267">
        <f t="shared" si="35"/>
        <v>19006.413031923323</v>
      </c>
      <c r="E370" s="263">
        <f t="shared" si="39"/>
        <v>420</v>
      </c>
      <c r="F370" s="263">
        <f t="shared" si="39"/>
        <v>34.4</v>
      </c>
      <c r="G370" s="263">
        <f t="shared" si="39"/>
        <v>4.3</v>
      </c>
      <c r="K370" s="196">
        <f t="shared" si="36"/>
        <v>1</v>
      </c>
      <c r="L370" s="196">
        <f t="shared" si="37"/>
        <v>1</v>
      </c>
    </row>
    <row r="371" spans="1:12" x14ac:dyDescent="0.25">
      <c r="A371" s="196">
        <f t="shared" si="38"/>
        <v>15.166666666666666</v>
      </c>
      <c r="C371" s="266">
        <v>364</v>
      </c>
      <c r="D371" s="267">
        <f t="shared" si="35"/>
        <v>18538.096454420363</v>
      </c>
      <c r="E371" s="263">
        <f t="shared" si="39"/>
        <v>420</v>
      </c>
      <c r="F371" s="263">
        <f t="shared" si="39"/>
        <v>34.4</v>
      </c>
      <c r="G371" s="263">
        <f t="shared" si="39"/>
        <v>4.3</v>
      </c>
      <c r="K371" s="196">
        <f t="shared" si="36"/>
        <v>1</v>
      </c>
      <c r="L371" s="196">
        <f t="shared" si="37"/>
        <v>1</v>
      </c>
    </row>
    <row r="372" spans="1:12" x14ac:dyDescent="0.25">
      <c r="A372" s="196">
        <f t="shared" si="38"/>
        <v>15.208333333333334</v>
      </c>
      <c r="C372" s="266">
        <v>365</v>
      </c>
      <c r="D372" s="267">
        <f t="shared" si="35"/>
        <v>18860.78005443911</v>
      </c>
      <c r="E372" s="263">
        <f t="shared" si="39"/>
        <v>420</v>
      </c>
      <c r="F372" s="263">
        <f t="shared" si="39"/>
        <v>34.4</v>
      </c>
      <c r="G372" s="263">
        <f t="shared" si="39"/>
        <v>4.3</v>
      </c>
      <c r="K372" s="196">
        <f t="shared" si="36"/>
        <v>1</v>
      </c>
      <c r="L372" s="196">
        <f t="shared" si="37"/>
        <v>1</v>
      </c>
    </row>
    <row r="373" spans="1:12" x14ac:dyDescent="0.25">
      <c r="A373" s="196">
        <f t="shared" si="38"/>
        <v>15.25</v>
      </c>
      <c r="C373" s="266">
        <v>366</v>
      </c>
      <c r="D373" s="267">
        <f t="shared" si="35"/>
        <v>19961.257006652133</v>
      </c>
      <c r="E373" s="263">
        <f t="shared" si="39"/>
        <v>420</v>
      </c>
      <c r="F373" s="263">
        <f t="shared" si="39"/>
        <v>34.4</v>
      </c>
      <c r="G373" s="263">
        <f t="shared" si="39"/>
        <v>4.3</v>
      </c>
      <c r="K373" s="196">
        <f t="shared" si="36"/>
        <v>1</v>
      </c>
      <c r="L373" s="196">
        <f t="shared" si="37"/>
        <v>1</v>
      </c>
    </row>
    <row r="374" spans="1:12" x14ac:dyDescent="0.25">
      <c r="A374" s="196">
        <f t="shared" si="38"/>
        <v>15.291666666666666</v>
      </c>
      <c r="C374" s="266">
        <v>367</v>
      </c>
      <c r="D374" s="267">
        <f t="shared" si="35"/>
        <v>21658.749724059624</v>
      </c>
      <c r="E374" s="263">
        <f t="shared" si="39"/>
        <v>420</v>
      </c>
      <c r="F374" s="263">
        <f t="shared" si="39"/>
        <v>34.4</v>
      </c>
      <c r="G374" s="263">
        <f t="shared" si="39"/>
        <v>4.3</v>
      </c>
      <c r="K374" s="196">
        <f t="shared" si="36"/>
        <v>1</v>
      </c>
      <c r="L374" s="196">
        <f t="shared" si="37"/>
        <v>1</v>
      </c>
    </row>
    <row r="375" spans="1:12" x14ac:dyDescent="0.25">
      <c r="A375" s="196">
        <f t="shared" si="38"/>
        <v>15.333333333333334</v>
      </c>
      <c r="C375" s="266">
        <v>368</v>
      </c>
      <c r="D375" s="267">
        <f t="shared" si="35"/>
        <v>23645.573726829716</v>
      </c>
      <c r="E375" s="263">
        <f t="shared" si="39"/>
        <v>420</v>
      </c>
      <c r="F375" s="263">
        <f t="shared" si="39"/>
        <v>34.4</v>
      </c>
      <c r="G375" s="263">
        <f t="shared" si="39"/>
        <v>4.3</v>
      </c>
      <c r="K375" s="196">
        <f t="shared" si="36"/>
        <v>1</v>
      </c>
      <c r="L375" s="196">
        <f t="shared" si="37"/>
        <v>1</v>
      </c>
    </row>
    <row r="376" spans="1:12" x14ac:dyDescent="0.25">
      <c r="A376" s="196">
        <f t="shared" si="38"/>
        <v>15.375</v>
      </c>
      <c r="C376" s="266">
        <v>369</v>
      </c>
      <c r="D376" s="267">
        <f t="shared" si="35"/>
        <v>25559.552921822593</v>
      </c>
      <c r="E376" s="263">
        <f t="shared" si="39"/>
        <v>420</v>
      </c>
      <c r="F376" s="263">
        <f t="shared" si="39"/>
        <v>34.4</v>
      </c>
      <c r="G376" s="263">
        <f t="shared" si="39"/>
        <v>4.3</v>
      </c>
      <c r="K376" s="196">
        <f t="shared" si="36"/>
        <v>1</v>
      </c>
      <c r="L376" s="196">
        <f t="shared" si="37"/>
        <v>1</v>
      </c>
    </row>
    <row r="377" spans="1:12" x14ac:dyDescent="0.25">
      <c r="A377" s="196">
        <f t="shared" si="38"/>
        <v>15.416666666666666</v>
      </c>
      <c r="C377" s="266">
        <v>370</v>
      </c>
      <c r="D377" s="267">
        <f t="shared" si="35"/>
        <v>27069.466104765779</v>
      </c>
      <c r="E377" s="263">
        <f t="shared" si="39"/>
        <v>420</v>
      </c>
      <c r="F377" s="263">
        <f t="shared" si="39"/>
        <v>34.4</v>
      </c>
      <c r="G377" s="263">
        <f t="shared" si="39"/>
        <v>4.3</v>
      </c>
      <c r="K377" s="196">
        <f t="shared" si="36"/>
        <v>1</v>
      </c>
      <c r="L377" s="196">
        <f t="shared" si="37"/>
        <v>1</v>
      </c>
    </row>
    <row r="378" spans="1:12" x14ac:dyDescent="0.25">
      <c r="A378" s="196">
        <f t="shared" si="38"/>
        <v>15.458333333333334</v>
      </c>
      <c r="C378" s="266">
        <v>371</v>
      </c>
      <c r="D378" s="267">
        <f t="shared" si="35"/>
        <v>27951.419768088908</v>
      </c>
      <c r="E378" s="263">
        <f t="shared" si="39"/>
        <v>420</v>
      </c>
      <c r="F378" s="263">
        <f t="shared" si="39"/>
        <v>34.4</v>
      </c>
      <c r="G378" s="263">
        <f t="shared" si="39"/>
        <v>4.3</v>
      </c>
      <c r="K378" s="196">
        <f t="shared" si="36"/>
        <v>1</v>
      </c>
      <c r="L378" s="196">
        <f t="shared" si="37"/>
        <v>1</v>
      </c>
    </row>
    <row r="379" spans="1:12" x14ac:dyDescent="0.25">
      <c r="A379" s="196">
        <f t="shared" si="38"/>
        <v>15.5</v>
      </c>
      <c r="C379" s="266">
        <v>372</v>
      </c>
      <c r="D379" s="267">
        <f t="shared" si="35"/>
        <v>28136.526698379879</v>
      </c>
      <c r="E379" s="263">
        <f t="shared" si="39"/>
        <v>420</v>
      </c>
      <c r="F379" s="263">
        <f t="shared" si="39"/>
        <v>34.4</v>
      </c>
      <c r="G379" s="263">
        <f t="shared" si="39"/>
        <v>4.3</v>
      </c>
      <c r="K379" s="196">
        <f t="shared" si="36"/>
        <v>1</v>
      </c>
      <c r="L379" s="196">
        <f t="shared" si="37"/>
        <v>1</v>
      </c>
    </row>
    <row r="380" spans="1:12" x14ac:dyDescent="0.25">
      <c r="A380" s="196">
        <f t="shared" si="38"/>
        <v>15.541666666666666</v>
      </c>
      <c r="C380" s="266">
        <v>373</v>
      </c>
      <c r="D380" s="267">
        <f t="shared" si="35"/>
        <v>27717.95406557366</v>
      </c>
      <c r="E380" s="263">
        <f t="shared" si="39"/>
        <v>420</v>
      </c>
      <c r="F380" s="263">
        <f t="shared" si="39"/>
        <v>34.4</v>
      </c>
      <c r="G380" s="263">
        <f t="shared" si="39"/>
        <v>4.3</v>
      </c>
      <c r="K380" s="196">
        <f t="shared" si="36"/>
        <v>1</v>
      </c>
      <c r="L380" s="196">
        <f t="shared" si="37"/>
        <v>1</v>
      </c>
    </row>
    <row r="381" spans="1:12" x14ac:dyDescent="0.25">
      <c r="A381" s="196">
        <f t="shared" si="38"/>
        <v>15.583333333333334</v>
      </c>
      <c r="C381" s="266">
        <v>374</v>
      </c>
      <c r="D381" s="267">
        <f t="shared" si="35"/>
        <v>26916.230059251931</v>
      </c>
      <c r="E381" s="263">
        <f t="shared" si="39"/>
        <v>420</v>
      </c>
      <c r="F381" s="263">
        <f t="shared" si="39"/>
        <v>34.4</v>
      </c>
      <c r="G381" s="263">
        <f t="shared" si="39"/>
        <v>4.3</v>
      </c>
      <c r="K381" s="196">
        <f t="shared" si="36"/>
        <v>1</v>
      </c>
      <c r="L381" s="196">
        <f t="shared" si="37"/>
        <v>1</v>
      </c>
    </row>
    <row r="382" spans="1:12" x14ac:dyDescent="0.25">
      <c r="A382" s="196">
        <f t="shared" si="38"/>
        <v>15.625</v>
      </c>
      <c r="C382" s="266">
        <v>375</v>
      </c>
      <c r="D382" s="267">
        <f t="shared" si="35"/>
        <v>26012.768166266866</v>
      </c>
      <c r="E382" s="263">
        <f t="shared" si="39"/>
        <v>420</v>
      </c>
      <c r="F382" s="263">
        <f t="shared" si="39"/>
        <v>34.4</v>
      </c>
      <c r="G382" s="263">
        <f t="shared" si="39"/>
        <v>4.3</v>
      </c>
      <c r="K382" s="196">
        <f t="shared" si="36"/>
        <v>1</v>
      </c>
      <c r="L382" s="196">
        <f t="shared" si="37"/>
        <v>1</v>
      </c>
    </row>
    <row r="383" spans="1:12" x14ac:dyDescent="0.25">
      <c r="A383" s="196">
        <f t="shared" si="38"/>
        <v>15.666666666666666</v>
      </c>
      <c r="C383" s="266">
        <v>376</v>
      </c>
      <c r="D383" s="267">
        <f t="shared" si="35"/>
        <v>25269.924506717929</v>
      </c>
      <c r="E383" s="263">
        <f t="shared" si="39"/>
        <v>420</v>
      </c>
      <c r="F383" s="263">
        <f t="shared" si="39"/>
        <v>34.4</v>
      </c>
      <c r="G383" s="263">
        <f t="shared" si="39"/>
        <v>4.3</v>
      </c>
      <c r="K383" s="196">
        <f t="shared" si="36"/>
        <v>1</v>
      </c>
      <c r="L383" s="196">
        <f t="shared" si="37"/>
        <v>1</v>
      </c>
    </row>
    <row r="384" spans="1:12" x14ac:dyDescent="0.25">
      <c r="A384" s="196">
        <f t="shared" si="38"/>
        <v>15.708333333333334</v>
      </c>
      <c r="C384" s="266">
        <v>377</v>
      </c>
      <c r="D384" s="267">
        <f t="shared" ref="D384:D390" si="40">D72*K384</f>
        <v>24859.318067798482</v>
      </c>
      <c r="E384" s="263">
        <f t="shared" si="39"/>
        <v>420</v>
      </c>
      <c r="F384" s="263">
        <f t="shared" si="39"/>
        <v>34.4</v>
      </c>
      <c r="G384" s="263">
        <f t="shared" si="39"/>
        <v>4.3</v>
      </c>
      <c r="K384" s="196">
        <f t="shared" ref="K384:K390" si="41">$T$20</f>
        <v>1</v>
      </c>
      <c r="L384" s="196">
        <f t="shared" ref="L384:L390" si="42">$U$20</f>
        <v>1</v>
      </c>
    </row>
    <row r="385" spans="1:12" x14ac:dyDescent="0.25">
      <c r="A385" s="196">
        <f t="shared" si="38"/>
        <v>15.75</v>
      </c>
      <c r="C385" s="266">
        <v>378</v>
      </c>
      <c r="D385" s="267">
        <f t="shared" si="40"/>
        <v>24817.714528515637</v>
      </c>
      <c r="E385" s="263">
        <f t="shared" si="39"/>
        <v>420</v>
      </c>
      <c r="F385" s="263">
        <f t="shared" si="39"/>
        <v>34.4</v>
      </c>
      <c r="G385" s="263">
        <f t="shared" si="39"/>
        <v>4.3</v>
      </c>
      <c r="K385" s="196">
        <f t="shared" si="41"/>
        <v>1</v>
      </c>
      <c r="L385" s="196">
        <f t="shared" si="42"/>
        <v>1</v>
      </c>
    </row>
    <row r="386" spans="1:12" x14ac:dyDescent="0.25">
      <c r="A386" s="196">
        <f t="shared" si="38"/>
        <v>15.791666666666666</v>
      </c>
      <c r="C386" s="266">
        <v>379</v>
      </c>
      <c r="D386" s="267">
        <f t="shared" si="40"/>
        <v>25042.16719998778</v>
      </c>
      <c r="E386" s="263">
        <f t="shared" si="39"/>
        <v>420</v>
      </c>
      <c r="F386" s="263">
        <f t="shared" si="39"/>
        <v>34.4</v>
      </c>
      <c r="G386" s="263">
        <f t="shared" si="39"/>
        <v>4.3</v>
      </c>
      <c r="K386" s="196">
        <f t="shared" si="41"/>
        <v>1</v>
      </c>
      <c r="L386" s="196">
        <f t="shared" si="42"/>
        <v>1</v>
      </c>
    </row>
    <row r="387" spans="1:12" x14ac:dyDescent="0.25">
      <c r="A387" s="196">
        <f t="shared" si="38"/>
        <v>15.833333333333334</v>
      </c>
      <c r="C387" s="266">
        <v>380</v>
      </c>
      <c r="D387" s="267">
        <f t="shared" si="40"/>
        <v>25325.376847199761</v>
      </c>
      <c r="E387" s="263">
        <f t="shared" si="39"/>
        <v>420</v>
      </c>
      <c r="F387" s="263">
        <f t="shared" si="39"/>
        <v>34.4</v>
      </c>
      <c r="G387" s="263">
        <f t="shared" si="39"/>
        <v>4.3</v>
      </c>
      <c r="K387" s="196">
        <f t="shared" si="41"/>
        <v>1</v>
      </c>
      <c r="L387" s="196">
        <f t="shared" si="42"/>
        <v>1</v>
      </c>
    </row>
    <row r="388" spans="1:12" x14ac:dyDescent="0.25">
      <c r="A388" s="196">
        <f t="shared" si="38"/>
        <v>15.875</v>
      </c>
      <c r="C388" s="266">
        <v>381</v>
      </c>
      <c r="D388" s="267">
        <f t="shared" si="40"/>
        <v>25421.265879987212</v>
      </c>
      <c r="E388" s="263">
        <f t="shared" si="39"/>
        <v>420</v>
      </c>
      <c r="F388" s="263">
        <f t="shared" si="39"/>
        <v>34.4</v>
      </c>
      <c r="G388" s="263">
        <f t="shared" si="39"/>
        <v>4.3</v>
      </c>
      <c r="K388" s="196">
        <f t="shared" si="41"/>
        <v>1</v>
      </c>
      <c r="L388" s="196">
        <f t="shared" si="42"/>
        <v>1</v>
      </c>
    </row>
    <row r="389" spans="1:12" x14ac:dyDescent="0.25">
      <c r="A389" s="196">
        <f t="shared" si="38"/>
        <v>15.916666666666666</v>
      </c>
      <c r="C389" s="266">
        <v>382</v>
      </c>
      <c r="D389" s="267">
        <f t="shared" si="40"/>
        <v>25122.51293409591</v>
      </c>
      <c r="E389" s="263">
        <f t="shared" si="39"/>
        <v>420</v>
      </c>
      <c r="F389" s="263">
        <f t="shared" si="39"/>
        <v>34.4</v>
      </c>
      <c r="G389" s="263">
        <f t="shared" si="39"/>
        <v>4.3</v>
      </c>
      <c r="K389" s="196">
        <f t="shared" si="41"/>
        <v>1</v>
      </c>
      <c r="L389" s="196">
        <f t="shared" si="42"/>
        <v>1</v>
      </c>
    </row>
    <row r="390" spans="1:12" x14ac:dyDescent="0.25">
      <c r="A390" s="196">
        <f t="shared" si="38"/>
        <v>15.958333333333334</v>
      </c>
      <c r="C390" s="266">
        <v>383</v>
      </c>
      <c r="D390" s="267">
        <f t="shared" si="40"/>
        <v>24328.48210967347</v>
      </c>
      <c r="E390" s="263">
        <f t="shared" si="39"/>
        <v>420</v>
      </c>
      <c r="F390" s="263">
        <f t="shared" si="39"/>
        <v>34.4</v>
      </c>
      <c r="G390" s="263">
        <f t="shared" si="39"/>
        <v>4.3</v>
      </c>
      <c r="K390" s="196">
        <f t="shared" si="41"/>
        <v>1</v>
      </c>
      <c r="L390" s="196">
        <f t="shared" si="42"/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22"/>
  <sheetViews>
    <sheetView showGridLines="0" showRowColHeaders="0" workbookViewId="0"/>
  </sheetViews>
  <sheetFormatPr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5" max="5" width="11.85546875" bestFit="1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247" t="s">
        <v>103</v>
      </c>
      <c r="C2" s="252" t="s">
        <v>1</v>
      </c>
      <c r="D2" s="252" t="s">
        <v>75</v>
      </c>
      <c r="E2" s="252" t="s">
        <v>101</v>
      </c>
      <c r="F2" s="236" t="s">
        <v>102</v>
      </c>
      <c r="G2" s="327"/>
      <c r="H2" s="229" t="s">
        <v>365</v>
      </c>
      <c r="I2" s="230"/>
      <c r="J2" s="230"/>
      <c r="K2" s="231"/>
    </row>
    <row r="3" spans="2:11" ht="18.75" customHeight="1" thickBot="1" x14ac:dyDescent="0.3">
      <c r="B3" s="248" t="s">
        <v>74</v>
      </c>
      <c r="C3" s="249" t="s">
        <v>68</v>
      </c>
      <c r="D3" s="250">
        <f>E3+Balances!C6+Balances!C10+SUM(Balances!C15:C21)</f>
        <v>213.35349999999997</v>
      </c>
      <c r="E3" s="250">
        <f>F3+Balances!C5</f>
        <v>133</v>
      </c>
      <c r="F3" s="251">
        <f>Balances!C3+Balances!C4+Balances!C14</f>
        <v>65</v>
      </c>
      <c r="G3" s="327"/>
      <c r="H3" s="256" t="s">
        <v>0</v>
      </c>
      <c r="I3" s="47" t="s">
        <v>75</v>
      </c>
      <c r="J3" s="47" t="s">
        <v>101</v>
      </c>
      <c r="K3" s="48" t="s">
        <v>102</v>
      </c>
    </row>
    <row r="4" spans="2:11" ht="18.75" customHeight="1" x14ac:dyDescent="0.25">
      <c r="B4" s="38" t="s">
        <v>144</v>
      </c>
      <c r="C4" s="44" t="s">
        <v>188</v>
      </c>
      <c r="D4" s="39">
        <f>D3*'Check fractions'!$D$26</f>
        <v>202.68582499999997</v>
      </c>
      <c r="E4" s="39">
        <f>E3*'Check fractions'!$D$26</f>
        <v>126.35</v>
      </c>
      <c r="F4" s="40">
        <f>F3*'Check fractions'!$D$26</f>
        <v>61.75</v>
      </c>
      <c r="G4" s="327"/>
      <c r="H4" s="253" t="s">
        <v>2</v>
      </c>
      <c r="I4" s="254" t="s">
        <v>85</v>
      </c>
      <c r="J4" s="254" t="s">
        <v>85</v>
      </c>
      <c r="K4" s="255" t="s">
        <v>85</v>
      </c>
    </row>
    <row r="5" spans="2:11" ht="18.75" customHeight="1" thickBot="1" x14ac:dyDescent="0.3">
      <c r="B5" s="41" t="s">
        <v>145</v>
      </c>
      <c r="C5" s="45" t="s">
        <v>188</v>
      </c>
      <c r="D5" s="42">
        <f>(D4-E4)*'Check fractions'!D29+E5</f>
        <v>132.50291249999998</v>
      </c>
      <c r="E5" s="42">
        <f>(E4-F4)*'Check fractions'!D28+F5</f>
        <v>94.335000000000008</v>
      </c>
      <c r="F5" s="43">
        <f>F4*'Check fractions'!D27</f>
        <v>55.575000000000003</v>
      </c>
      <c r="G5" s="327"/>
      <c r="H5" s="35" t="s">
        <v>3</v>
      </c>
      <c r="I5" s="24" t="s">
        <v>86</v>
      </c>
      <c r="J5" s="24" t="s">
        <v>86</v>
      </c>
      <c r="K5" s="46" t="s">
        <v>86</v>
      </c>
    </row>
    <row r="6" spans="2:11" ht="18.75" customHeight="1" x14ac:dyDescent="0.25">
      <c r="B6" s="327"/>
      <c r="C6" s="327"/>
      <c r="D6" s="327"/>
      <c r="E6" s="327"/>
      <c r="F6" s="327"/>
      <c r="G6" s="327"/>
      <c r="H6" s="35" t="s">
        <v>4</v>
      </c>
      <c r="I6" s="24" t="s">
        <v>87</v>
      </c>
      <c r="J6" s="24" t="s">
        <v>87</v>
      </c>
      <c r="K6" s="46" t="s">
        <v>87</v>
      </c>
    </row>
    <row r="7" spans="2:11" ht="18.75" customHeight="1" thickBot="1" x14ac:dyDescent="0.3">
      <c r="B7" s="327"/>
      <c r="C7" s="327"/>
      <c r="D7" s="327"/>
      <c r="E7" s="327"/>
      <c r="F7" s="327"/>
      <c r="G7" s="327"/>
      <c r="H7" s="213" t="s">
        <v>5</v>
      </c>
      <c r="I7" s="24" t="s">
        <v>88</v>
      </c>
      <c r="J7" s="24" t="s">
        <v>88</v>
      </c>
      <c r="K7" s="46"/>
    </row>
    <row r="8" spans="2:11" ht="18.75" thickBot="1" x14ac:dyDescent="0.3">
      <c r="B8" s="247" t="s">
        <v>112</v>
      </c>
      <c r="C8" s="377" t="s">
        <v>116</v>
      </c>
      <c r="D8" s="377" t="s">
        <v>166</v>
      </c>
      <c r="E8" s="378" t="s">
        <v>115</v>
      </c>
      <c r="F8" s="327"/>
      <c r="G8" s="327"/>
      <c r="H8" s="35" t="s">
        <v>6</v>
      </c>
      <c r="I8" s="24" t="s">
        <v>89</v>
      </c>
      <c r="J8" s="24"/>
      <c r="K8" s="46"/>
    </row>
    <row r="9" spans="2:11" ht="18" x14ac:dyDescent="0.25">
      <c r="B9" s="221" t="s">
        <v>40</v>
      </c>
      <c r="C9" s="244">
        <v>0.05</v>
      </c>
      <c r="D9" s="245"/>
      <c r="E9" s="246">
        <v>0.15</v>
      </c>
      <c r="F9" s="327"/>
      <c r="G9" s="327"/>
      <c r="H9" s="35" t="s">
        <v>7</v>
      </c>
      <c r="I9" s="24" t="s">
        <v>90</v>
      </c>
      <c r="J9" s="24" t="s">
        <v>90</v>
      </c>
      <c r="K9" s="46" t="s">
        <v>90</v>
      </c>
    </row>
    <row r="10" spans="2:11" ht="18" x14ac:dyDescent="0.25">
      <c r="B10" s="232" t="s">
        <v>113</v>
      </c>
      <c r="C10" s="237">
        <v>0.1</v>
      </c>
      <c r="D10" s="234"/>
      <c r="E10" s="239">
        <v>0.25</v>
      </c>
      <c r="F10" s="327"/>
      <c r="G10" s="327"/>
      <c r="H10" s="35" t="s">
        <v>8</v>
      </c>
      <c r="I10" s="24" t="s">
        <v>91</v>
      </c>
      <c r="J10" s="24" t="s">
        <v>91</v>
      </c>
      <c r="K10" s="46"/>
    </row>
    <row r="11" spans="2:11" ht="18.75" thickBot="1" x14ac:dyDescent="0.3">
      <c r="B11" s="233" t="s">
        <v>114</v>
      </c>
      <c r="C11" s="238">
        <v>0.05</v>
      </c>
      <c r="D11" s="235"/>
      <c r="E11" s="240">
        <v>0.15</v>
      </c>
      <c r="F11" s="327"/>
      <c r="G11" s="327"/>
      <c r="H11" s="35" t="s">
        <v>9</v>
      </c>
      <c r="I11" s="24" t="s">
        <v>92</v>
      </c>
      <c r="J11" s="24"/>
      <c r="K11" s="46"/>
    </row>
    <row r="12" spans="2:11" ht="18" x14ac:dyDescent="0.25">
      <c r="B12" s="327"/>
      <c r="C12" s="327"/>
      <c r="D12" s="327"/>
      <c r="E12" s="327"/>
      <c r="F12" s="327"/>
      <c r="G12" s="327"/>
      <c r="H12" s="35" t="s">
        <v>10</v>
      </c>
      <c r="I12" s="24" t="s">
        <v>93</v>
      </c>
      <c r="J12" s="24"/>
      <c r="K12" s="46"/>
    </row>
    <row r="13" spans="2:11" ht="18" x14ac:dyDescent="0.25">
      <c r="B13" s="327"/>
      <c r="C13" s="327"/>
      <c r="D13" s="327"/>
      <c r="E13" s="327"/>
      <c r="F13" s="327"/>
      <c r="G13" s="327"/>
      <c r="H13" s="213" t="s">
        <v>292</v>
      </c>
      <c r="I13" s="24" t="s">
        <v>293</v>
      </c>
      <c r="J13" s="24"/>
      <c r="K13" s="46"/>
    </row>
    <row r="14" spans="2:11" ht="18" x14ac:dyDescent="0.25">
      <c r="B14" s="327"/>
      <c r="C14" s="327"/>
      <c r="D14" s="327"/>
      <c r="E14" s="327"/>
      <c r="F14" s="327"/>
      <c r="G14" s="327"/>
      <c r="H14" s="35" t="s">
        <v>95</v>
      </c>
      <c r="I14" s="24" t="s">
        <v>94</v>
      </c>
      <c r="J14" s="24"/>
      <c r="K14" s="46"/>
    </row>
    <row r="15" spans="2:11" ht="18" x14ac:dyDescent="0.25">
      <c r="B15" s="327"/>
      <c r="C15" s="327"/>
      <c r="D15" s="327"/>
      <c r="E15" s="327"/>
      <c r="F15" s="327"/>
      <c r="G15" s="327"/>
      <c r="H15" s="213" t="s">
        <v>264</v>
      </c>
      <c r="I15" s="24" t="s">
        <v>294</v>
      </c>
      <c r="J15" s="24"/>
      <c r="K15" s="46"/>
    </row>
    <row r="16" spans="2:11" ht="18" x14ac:dyDescent="0.25">
      <c r="B16" s="327"/>
      <c r="C16" s="327"/>
      <c r="D16" s="327"/>
      <c r="E16" s="327"/>
      <c r="F16" s="327"/>
      <c r="G16" s="327"/>
      <c r="H16" s="228" t="s">
        <v>295</v>
      </c>
      <c r="I16" s="24" t="s">
        <v>96</v>
      </c>
      <c r="J16" s="24"/>
      <c r="K16" s="46"/>
    </row>
    <row r="17" spans="2:11" ht="18" x14ac:dyDescent="0.25">
      <c r="B17" s="327"/>
      <c r="C17" s="327"/>
      <c r="D17" s="327"/>
      <c r="E17" s="327"/>
      <c r="F17" s="327"/>
      <c r="G17" s="327"/>
      <c r="H17" s="241" t="s">
        <v>364</v>
      </c>
      <c r="I17" s="24" t="s">
        <v>366</v>
      </c>
      <c r="J17" s="24"/>
      <c r="K17" s="46"/>
    </row>
    <row r="18" spans="2:11" ht="18" x14ac:dyDescent="0.25">
      <c r="B18" s="327"/>
      <c r="C18" s="327"/>
      <c r="D18" s="327"/>
      <c r="E18" s="327"/>
      <c r="F18" s="327"/>
      <c r="G18" s="327"/>
      <c r="H18" s="241" t="s">
        <v>265</v>
      </c>
      <c r="I18" s="24" t="s">
        <v>97</v>
      </c>
      <c r="J18" s="24"/>
      <c r="K18" s="46"/>
    </row>
    <row r="19" spans="2:11" ht="18" x14ac:dyDescent="0.25">
      <c r="B19" s="327"/>
      <c r="C19" s="327"/>
      <c r="D19" s="327"/>
      <c r="E19" s="327"/>
      <c r="F19" s="327"/>
      <c r="G19" s="327"/>
      <c r="H19" s="213" t="s">
        <v>266</v>
      </c>
      <c r="I19" s="24" t="s">
        <v>98</v>
      </c>
      <c r="J19" s="24"/>
      <c r="K19" s="46"/>
    </row>
    <row r="20" spans="2:11" ht="18" x14ac:dyDescent="0.25">
      <c r="B20" s="327"/>
      <c r="C20" s="327"/>
      <c r="D20" s="327"/>
      <c r="E20" s="327"/>
      <c r="F20" s="158"/>
      <c r="G20" s="327"/>
      <c r="H20" s="35" t="s">
        <v>267</v>
      </c>
      <c r="I20" s="24" t="s">
        <v>99</v>
      </c>
      <c r="J20" s="24"/>
      <c r="K20" s="46"/>
    </row>
    <row r="21" spans="2:11" ht="18.75" thickBot="1" x14ac:dyDescent="0.3">
      <c r="B21" s="327"/>
      <c r="C21" s="327"/>
      <c r="D21" s="327"/>
      <c r="E21" s="327"/>
      <c r="F21" s="159"/>
      <c r="G21" s="327"/>
      <c r="H21" s="34" t="s">
        <v>268</v>
      </c>
      <c r="I21" s="47" t="s">
        <v>100</v>
      </c>
      <c r="J21" s="47"/>
      <c r="K21" s="48"/>
    </row>
    <row r="22" spans="2:11" x14ac:dyDescent="0.25">
      <c r="F22" s="159"/>
    </row>
  </sheetData>
  <sheetProtection selectLockedCells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Birthday Cake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ASF_H</vt:lpstr>
      <vt:lpstr>ASF_L</vt:lpstr>
      <vt:lpstr>f_H2O_HAO_TSS</vt:lpstr>
      <vt:lpstr>f_H2O_HFO_TSS</vt:lpstr>
      <vt:lpstr>i_CV_PHA</vt:lpstr>
      <vt:lpstr>i_N_BIO</vt:lpstr>
      <vt:lpstr>i_N_CB</vt:lpstr>
      <vt:lpstr>i_N_CU</vt:lpstr>
      <vt:lpstr>i_N_SU</vt:lpstr>
      <vt:lpstr>i_N_XE</vt:lpstr>
      <vt:lpstr>i_N_XSTR</vt:lpstr>
      <vt:lpstr>i_P_BIO</vt:lpstr>
      <vt:lpstr>i_P_CB</vt:lpstr>
      <vt:lpstr>i_P_CU</vt:lpstr>
      <vt:lpstr>i_P_SU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Tanush</cp:lastModifiedBy>
  <dcterms:created xsi:type="dcterms:W3CDTF">2014-09-09T20:53:53Z</dcterms:created>
  <dcterms:modified xsi:type="dcterms:W3CDTF">2022-08-29T20:59:44Z</dcterms:modified>
</cp:coreProperties>
</file>